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<sst xmlns="http://schemas.openxmlformats.org/spreadsheetml/2006/main" count="568" uniqueCount="376">
  <si>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</si>
  <si>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</si>
  <si>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</si>
  <si>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</si>
  <si>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</si>
  <si>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</si>
  <si>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</si>
  <si>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</si>
  <si>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</si>
  <si>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</si>
  <si>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</si>
  <si>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</si>
  <si>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</si>
  <si>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</si>
  <si>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г. Энгельс, ул. Минская, 23</t>
  </si>
  <si>
    <t>Общ. площ.,кв.м.</t>
  </si>
  <si>
    <t>Конструктивные элементы</t>
  </si>
  <si>
    <t>Замена неисправных участков электрической сети (скрытая проводка) при числе и сечении жил в проводе  2x1,5 и 2x2,5 кв.м.</t>
  </si>
  <si>
    <t>100 пог.м</t>
  </si>
  <si>
    <t>Замена неисправных участков сети электрической сети (открытая проводка) при числе и сечении жил в проводе 2х1,5 и 2х2,5 кв.м</t>
  </si>
  <si>
    <t>Замена выключателей</t>
  </si>
  <si>
    <t>100 шт.</t>
  </si>
  <si>
    <t>Замена патронов</t>
  </si>
  <si>
    <t>Восстановление (ремонт)  решеток на  продухах  фундамента</t>
  </si>
  <si>
    <t>100 решеток</t>
  </si>
  <si>
    <t>Восстановление (ремонт) вводов инженерных коммуникаций   в подвальные  помещения  через  фундаменты</t>
  </si>
  <si>
    <t>Восстановление  горизонтальной гидроизоляции с использованием рулонных материалов и мастик вручную</t>
  </si>
  <si>
    <t>100 м2 сменяемого покрытия</t>
  </si>
  <si>
    <t>Оштукатуривание поверхностей цоколя из камня или бетона цементно-известковым или цементным раствором</t>
  </si>
  <si>
    <t>100 м2 оштукатуриваемой  поверхности</t>
  </si>
  <si>
    <t>Простая клеевая окраска стен</t>
  </si>
  <si>
    <t>100 м2 окрашенной поверхности</t>
  </si>
  <si>
    <t>Улучшенная клеевая окраска стен</t>
  </si>
  <si>
    <t>Простая масляная окраска ранее окрашенных поверхностей</t>
  </si>
  <si>
    <t>Ремонт бетонных полов</t>
  </si>
  <si>
    <t>кв.м.</t>
  </si>
  <si>
    <t>Смена мягкой кровли в два слоя отдельными местами</t>
  </si>
  <si>
    <t>Прочистка засоренных вентиляционных каналов</t>
  </si>
  <si>
    <t>10 м канала</t>
  </si>
  <si>
    <t>Окраска масляными составами ранее окрашенных металлических лестниц и дверей на крышу за 1 раз</t>
  </si>
  <si>
    <t>Смена дверных петель при одной сменяемой петле в полотне</t>
  </si>
  <si>
    <t>10 петель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</si>
  <si>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</si>
  <si>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</si>
  <si>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</si>
  <si>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</si>
  <si>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</si>
  <si>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</si>
  <si>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</si>
  <si>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замков накладных</t>
  </si>
  <si>
    <t>100 замков</t>
  </si>
  <si>
    <t>Заделка выбоин в каменных ступенях</t>
  </si>
  <si>
    <t>100 м2 заделанной поверхности</t>
  </si>
  <si>
    <t>Итого по разделу:</t>
  </si>
  <si>
    <t>Внутридомовое инженерное оборудование и технические устройства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</si>
  <si>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</si>
  <si>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</si>
  <si>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</si>
  <si>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Техническое обслуживание внутридомовых газопроводов диаметром 50-75 мм</t>
  </si>
  <si>
    <t>100 пог. м.</t>
  </si>
  <si>
    <t>Проверка работоспособности и смазка отключающих устройств</t>
  </si>
  <si>
    <t>1 устройство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</si>
  <si>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</si>
  <si>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</si>
  <si>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</si>
  <si>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</si>
  <si>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предохранителя</t>
  </si>
  <si>
    <t>1 предохранитель</t>
  </si>
  <si>
    <t>Замена рубильника</t>
  </si>
  <si>
    <t>1 рубильник</t>
  </si>
  <si>
    <t>Ремонт трансформатора</t>
  </si>
  <si>
    <t>1 трансформатор</t>
  </si>
  <si>
    <t>Обслуживание трехфазных счетчиков электроэнергии</t>
  </si>
  <si>
    <t>100 счетчиков</t>
  </si>
  <si>
    <t>Замена лампы накаливания на энергосберегательную</t>
  </si>
  <si>
    <t>1 лампа</t>
  </si>
  <si>
    <t>Консервация, расконсервация и ремонт поливочной системы при поливе статическими головками</t>
  </si>
  <si>
    <t>1 поливочная система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</si>
  <si>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</si>
  <si>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</si>
  <si>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</si>
  <si>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</si>
  <si>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</si>
  <si>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</si>
  <si>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</si>
  <si>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</si>
  <si>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</si>
  <si>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</si>
  <si>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</si>
  <si>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</si>
  <si>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</si>
  <si>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</si>
  <si>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</si>
  <si>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</si>
  <si>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</si>
  <si>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</si>
  <si>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</si>
  <si>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</si>
  <si>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</si>
  <si>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заземления оболочки электрокабеля</t>
  </si>
  <si>
    <t>100 м</t>
  </si>
  <si>
    <t>Замеры сопротивления изоляции проводов</t>
  </si>
  <si>
    <t xml:space="preserve">измерение 1         </t>
  </si>
  <si>
    <t>Первое рабочее испытание отдельных частей системы при диаметре трубопровода до 100 мм</t>
  </si>
  <si>
    <t>100 м трубопровода</t>
  </si>
  <si>
    <t>Рабочая проверка системы в целом при диаметре трубопровода до 100 мм</t>
  </si>
  <si>
    <t>Окончательная проверка при сдаче системы при диаметре трубопровода до 100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</si>
  <si>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</si>
  <si>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</si>
  <si>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</si>
  <si>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</si>
  <si>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</si>
  <si>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</si>
  <si>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</si>
  <si>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</si>
  <si>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</si>
  <si>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</si>
  <si>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</si>
  <si>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</si>
  <si>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</si>
  <si>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</si>
  <si>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</si>
  <si>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</si>
  <si>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</si>
  <si>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</si>
  <si>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</si>
  <si>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</si>
  <si>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</si>
  <si>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Поверка (настройка) тепловычислителя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</si>
  <si>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</si>
  <si>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</si>
  <si>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</si>
  <si>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</si>
  <si>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</si>
  <si>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</si>
  <si>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>100 м2  убираемой  площади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</si>
  <si>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</si>
  <si>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100 м2 убираемой  площади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</si>
  <si>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</si>
  <si>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</si>
  <si>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</si>
  <si>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</si>
  <si>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</si>
  <si>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</si>
  <si>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</si>
  <si>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легкодоступных стекол в окнах  в помещениях общего пользования</t>
  </si>
  <si>
    <t>100 м2 окон</t>
  </si>
  <si>
    <t>Очистка чердаков  и подвалов от строительного мусора</t>
  </si>
  <si>
    <t>100 кг строительного мусора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</si>
  <si>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</si>
  <si>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</si>
  <si>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</si>
  <si>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</si>
  <si>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</si>
  <si>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</si>
  <si>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</si>
  <si>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</si>
  <si>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</si>
  <si>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</si>
  <si>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</si>
  <si>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</si>
  <si>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Полив газонов</t>
  </si>
  <si>
    <t>на 100 000 кв.м.</t>
  </si>
  <si>
    <t>Стрижка газонов</t>
  </si>
  <si>
    <t>на 100 кв.м.</t>
  </si>
  <si>
    <t>Очистка урн от мусора</t>
  </si>
  <si>
    <t>на 100 урн</t>
  </si>
  <si>
    <t>Обрезка под естественный вид крон деревьев</t>
  </si>
  <si>
    <t>100 деревьев</t>
  </si>
  <si>
    <t>Обрезка под естественный вид крон кустарников</t>
  </si>
  <si>
    <t>1000 кустов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</si>
  <si>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</si>
  <si>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</si>
  <si>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</si>
  <si>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Посыпка территории I класса</t>
  </si>
  <si>
    <t>100 кв. м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</si>
  <si>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</si>
  <si>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</si>
  <si>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</si>
  <si>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</si>
  <si>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</si>
  <si>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</si>
  <si>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</si>
  <si>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Дератизация чердаков и подвалов с применением зоокумарина</t>
  </si>
  <si>
    <t>1000 м2  обрабатываемых  помещений</t>
  </si>
  <si>
    <t>Дезинсекция  подвалов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</si>
  <si>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</si>
  <si>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</si>
  <si>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</si>
  <si>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</si>
  <si>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</si>
  <si>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</si>
  <si>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</si>
  <si>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</si>
  <si>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</si>
  <si>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</si>
  <si>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</si>
  <si>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</si>
  <si>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</si>
  <si>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</si>
  <si>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 разряда</t>
  </si>
  <si>
    <t>чел.-час</t>
  </si>
  <si>
    <t>Бетонщик 4 разряда</t>
  </si>
  <si>
    <t>Дворник 1 разряда</t>
  </si>
  <si>
    <t>Дезинфектор 3 разряда</t>
  </si>
  <si>
    <t>Изолировщик на гидроизоляции 2 разряда</t>
  </si>
  <si>
    <t>Изолировщик на гидроизоляции 3 разряда</t>
  </si>
  <si>
    <t>Изолировщик на термоизоляции 4 разряда</t>
  </si>
  <si>
    <t>Каменщик 3 разряда</t>
  </si>
  <si>
    <t>Камнетес 4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</si>
  <si>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</si>
  <si>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</si>
  <si>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</si>
  <si>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</si>
  <si>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</si>
  <si>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</si>
  <si>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3.1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</si>
  <si>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</si>
  <si>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</si>
  <si>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</si>
  <si>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</si>
  <si>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</si>
  <si>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</si>
  <si>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</si>
  <si>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</si>
  <si>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</si>
  <si>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</si>
  <si>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</si>
  <si>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</si>
  <si>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</si>
  <si>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</si>
  <si>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</si>
  <si>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</si>
  <si>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</si>
  <si>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</si>
  <si>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</si>
  <si>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</si>
  <si>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</si>
  <si>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</si>
  <si>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</si>
  <si>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</si>
  <si>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Столяр строительный 3 разряда</t>
  </si>
  <si>
    <t>Столяр строительный 4 разряда</t>
  </si>
  <si>
    <t>Чистильщик дымоходов, боровок и топок 4 разряда</t>
  </si>
  <si>
    <t>Штукатур 3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</si>
  <si>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</si>
  <si>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</si>
  <si>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</si>
  <si>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</si>
  <si>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</si>
  <si>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</si>
  <si>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</si>
  <si>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</si>
  <si>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</si>
  <si>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</si>
  <si>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</si>
  <si>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Белила</t>
  </si>
  <si>
    <t>Бензин авиационный Б-70</t>
  </si>
  <si>
    <t>Бетон тяжелый, класс В 30 (М400)</t>
  </si>
  <si>
    <t>м3</t>
  </si>
  <si>
    <t>Болты с гайками и шайбами для санитарно-технических работ, диаметром 16 мм</t>
  </si>
  <si>
    <t>Вентиль обратный муфтовый диаметром до 20 мм</t>
  </si>
  <si>
    <t>шт.</t>
  </si>
  <si>
    <t>Вентиль обратный муфтовый диаметром до 32 мм</t>
  </si>
  <si>
    <t>Вентиль обратный муфтовый диаметром до 50 мм</t>
  </si>
  <si>
    <t>Ветошь</t>
  </si>
  <si>
    <t>кг</t>
  </si>
  <si>
    <t>Винты самонарезающие СМ1-35</t>
  </si>
  <si>
    <t>Вода водопроводная</t>
  </si>
  <si>
    <t>Войлок строительный толщиной 15 мм</t>
  </si>
  <si>
    <t>м2</t>
  </si>
  <si>
    <t>Втулка полиэтиленовая изолирующая</t>
  </si>
  <si>
    <t>Выключатели автоматические</t>
  </si>
  <si>
    <t>Выключатель одноклавишный</t>
  </si>
  <si>
    <t>10 шт.</t>
  </si>
  <si>
    <t>Гвозди строительные</t>
  </si>
  <si>
    <t>Гвозди строительные с плоской головкой 1,8 x 50 мм</t>
  </si>
  <si>
    <t xml:space="preserve">Гвозди толевые  круглые 3,0х40 мм </t>
  </si>
  <si>
    <t>Герметик У-30М</t>
  </si>
  <si>
    <t>Гипсовые вяжущие Г-3</t>
  </si>
  <si>
    <t>Готовая смесь для уничтожения насекомых (порошок Абсолют Дуст)</t>
  </si>
  <si>
    <t>Дрова разделанные длиной 1,5 - 2 м: ель, кедр, пихта, осина, липа</t>
  </si>
  <si>
    <t>Замки накладные с засовом и защелкой</t>
  </si>
  <si>
    <t>Зоокумарин</t>
  </si>
  <si>
    <t>Известь строительная негашеная комовая, сорт I</t>
  </si>
  <si>
    <t>Клей ALT</t>
  </si>
  <si>
    <t>Клей казеиновый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</si>
  <si>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</si>
  <si>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</si>
  <si>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</si>
  <si>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</si>
  <si>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Лампа энергосберегающая</t>
  </si>
  <si>
    <t xml:space="preserve">Лента изоляционная прорезиненная односторонняя ширина 20 мм, толщина 0,25-0,35 мм </t>
  </si>
  <si>
    <t>Масло растительное</t>
  </si>
  <si>
    <t>Мастика битумная кровельная горячая</t>
  </si>
  <si>
    <t>Мастика битумно-резиновая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</si>
  <si>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</si>
  <si>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</si>
  <si>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</si>
  <si>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</si>
  <si>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</si>
  <si>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Мыльный раствор</t>
  </si>
  <si>
    <t>л</t>
  </si>
  <si>
    <t>Наличники</t>
  </si>
  <si>
    <t>пог. м.</t>
  </si>
  <si>
    <t>Олифа комбинированная К-3</t>
  </si>
  <si>
    <t>Олифа натуральная</t>
  </si>
  <si>
    <t xml:space="preserve">Осколки природных камней </t>
  </si>
  <si>
    <t>Очес льняной</t>
  </si>
  <si>
    <t>Пакетный переключатель</t>
  </si>
  <si>
    <t>Пакля пропитанная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</si>
  <si>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</si>
  <si>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</si>
  <si>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</si>
  <si>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>Пескосоляная смесь</t>
  </si>
  <si>
    <t xml:space="preserve">Песок природный для строительных работ средний </t>
  </si>
  <si>
    <t>Петля врезная</t>
  </si>
  <si>
    <t>Пигмент тертый</t>
  </si>
  <si>
    <t xml:space="preserve">Плита площадная </t>
  </si>
  <si>
    <t>Предохранители плавкие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</si>
  <si>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</si>
  <si>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>1000 пог.м.</t>
  </si>
  <si>
    <t>Проволока стальная низкоуглеродистая разного  назначения оцинкованная диаметром 1,1 мм</t>
  </si>
  <si>
    <t>Пружины</t>
  </si>
  <si>
    <t>Раствор готовый отделочный тяжелый, цементно-известковый 1:1:6</t>
  </si>
  <si>
    <t>Раствор готовый отделочный тяжелый, цементный 1:2</t>
  </si>
  <si>
    <t>Растворитель - бензин</t>
  </si>
  <si>
    <t>Растворы кладочные тяжелые известковые марки 10</t>
  </si>
  <si>
    <t>Резина листовая вулканизованная цветная</t>
  </si>
  <si>
    <t>Решетки жалюзийные неподвижные штампованные размером 150x490 мм</t>
  </si>
  <si>
    <t>Рубероид подкладочный с пылевидной посыпкой РПП-300а</t>
  </si>
  <si>
    <t>Рубильник</t>
  </si>
  <si>
    <t>Ручка-скоба из алюминиевого  сплава анодированная</t>
  </si>
  <si>
    <t>Салфетки технические</t>
  </si>
  <si>
    <t>Сетка тканая с квадратными ячейками N 05 без покрытия</t>
  </si>
  <si>
    <t xml:space="preserve">Сжим ответвительный </t>
  </si>
  <si>
    <t>Смазка солидол жировой Ж</t>
  </si>
  <si>
    <t>Сопла (MSBN  Сопло Баблер )</t>
  </si>
  <si>
    <t>Статические поливочные головки (PS-04-17A  Спринклер, регулируемый  Н=10см.(радиус =5,2 м.))</t>
  </si>
  <si>
    <t>Тальк молотый I сорта</t>
  </si>
  <si>
    <t>Ткань мешочная</t>
  </si>
  <si>
    <t>10 м2</t>
  </si>
  <si>
    <t>Трубы диаметром от 20 мм до 40 мм</t>
  </si>
  <si>
    <t>10 пог. м</t>
  </si>
  <si>
    <t>Узел подключения поливочных головок (гибкие отводы, компрессионные фитинги)</t>
  </si>
  <si>
    <t>Узел подключения электромагнитных клапанов</t>
  </si>
  <si>
    <t>Цемент глиноземистый марки 400</t>
  </si>
  <si>
    <t>Шкурка шлифовальная двухслойная с зернистостью 40-25</t>
  </si>
  <si>
    <t>Шпагат бумажный влагопрочный одножильный 3,7 мм</t>
  </si>
  <si>
    <t>Шпатлевка масляно-клеевая</t>
  </si>
  <si>
    <t>Шурупы с полукруглой головкой 3,5 x 35 мм</t>
  </si>
  <si>
    <t>Электромагнитные клапаны поливочной системы (PGV-101-JTB  Магнитный клапан 1" с регулятором контроля потока)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</si>
  <si>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</si>
  <si>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</si>
  <si>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</si>
  <si>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</si>
  <si>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</si>
  <si>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</si>
  <si>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</si>
  <si>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</si>
  <si>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</si>
  <si>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</si>
  <si>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</si>
  <si>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Шланг поливочный, 20 м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</si>
  <si>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</si>
  <si>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</si>
  <si>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</si>
  <si>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</si>
  <si>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</si>
  <si>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Компрессорная установка</t>
  </si>
  <si>
    <t>маш.-час.</t>
  </si>
  <si>
    <t xml:space="preserve">Котлы битумные передвижные 400 л
</t>
  </si>
  <si>
    <t>Лебедки электрические тяговым усилием до 5,79 кН (0,59 т)</t>
  </si>
  <si>
    <t>Подъемники мачтовые</t>
  </si>
  <si>
    <t>Растворонасосы 1 м3/ч</t>
  </si>
  <si>
    <t>Установки для гидравлических испытаний трубопроводов, давление нагнетания низкое 0,1 мПа (1 кгс/см2), высокое 10 мПа (100 кгс/см2)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</si>
</sst>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2" xfId="0" applyFont="1" applyFill="1" applyBorder="1" applyAlignment="1" applyProtection="1">
      <alignment horizontal="center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right" vertical="center" wrapText="1"/>
      <protection/>
    </xf>
    <xf numFmtId="4" fontId="0" fillId="0" borderId="27" xfId="0" applyNumberForma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12" fillId="0" borderId="3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2" xfId="0" applyFont="1" applyFill="1" applyBorder="1" applyAlignment="1" applyProtection="1">
      <alignment horizontal="lef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4" fontId="5" fillId="37" borderId="33" xfId="0" applyNumberFormat="1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0" fontId="6" fillId="34" borderId="35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" fontId="12" fillId="0" borderId="38" xfId="0" applyNumberFormat="1" applyFont="1" applyFill="1" applyBorder="1" applyAlignment="1" applyProtection="1">
      <alignment horizontal="left" vertical="center" wrapText="1"/>
      <protection/>
    </xf>
    <xf numFmtId="4" fontId="6" fillId="38" borderId="39" xfId="0" applyNumberFormat="1" applyFont="1" applyFill="1" applyBorder="1" applyAlignment="1" applyProtection="1">
      <alignment horizontal="righ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4"/>
  <sheetViews>
    <sheetView tabSelected="1" zoomScale="85" zoomScaleNormal="85" workbookViewId="0" topLeftCell="B109">
      <selection activeCell="N124" sqref="N12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4" t="s">
        <v>14</v>
      </c>
      <c r="C4" s="35"/>
      <c r="D4" s="35"/>
      <c r="E4" s="35"/>
      <c r="F4" s="35"/>
      <c r="G4" s="36"/>
      <c r="H4" s="36"/>
      <c r="I4" s="36"/>
      <c r="J4" s="36"/>
      <c r="K4" s="36"/>
      <c r="L4" s="37" t="s">
        <v>15</v>
      </c>
      <c r="M4" s="37"/>
      <c r="N4" s="16">
        <v>10219</v>
      </c>
    </row>
    <row r="5" spans="2:14" ht="21.75" customHeight="1">
      <c r="B5" s="38" t="s">
        <v>16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1"/>
    </row>
    <row r="6" spans="2:14" ht="36">
      <c r="B6" s="8">
        <v>1</v>
      </c>
      <c r="C6" s="6" t="s">
        <v>17</v>
      </c>
      <c r="D6" s="6" t="s">
        <v>18</v>
      </c>
      <c r="E6" s="10">
        <v>0.1</v>
      </c>
      <c r="F6" s="10">
        <v>1</v>
      </c>
      <c r="G6" s="13">
        <f>2821.376*E6*F6</f>
        <v>282.1376</v>
      </c>
      <c r="H6" s="13">
        <f>5075.9187886426*E6*F6</f>
        <v>507.59187886426</v>
      </c>
      <c r="I6" s="13">
        <f aca="true" t="shared" si="0" ref="I6:I12">0*E6*F6</f>
        <v>0</v>
      </c>
      <c r="J6" s="13">
        <f>2685.949952*E6*F6</f>
        <v>268.5949952</v>
      </c>
      <c r="K6" s="13">
        <f>1111.2406977675*E6*F6</f>
        <v>111.12406977675</v>
      </c>
      <c r="L6" s="13">
        <f>564.2752*E6*F6</f>
        <v>56.42752000000001</v>
      </c>
      <c r="M6" s="13">
        <f aca="true" t="shared" si="1" ref="M6:M27">SUM(G6:L6)</f>
        <v>1225.8760638410101</v>
      </c>
      <c r="N6" s="17">
        <f>IF(N4&gt;0,(M6/$N$4/12),0)</f>
        <v>0.009996706003857277</v>
      </c>
    </row>
    <row r="7" spans="2:14" ht="36">
      <c r="B7" s="9">
        <v>2</v>
      </c>
      <c r="C7" s="7" t="s">
        <v>19</v>
      </c>
      <c r="D7" s="7" t="s">
        <v>18</v>
      </c>
      <c r="E7" s="11">
        <v>0.05</v>
      </c>
      <c r="F7" s="11">
        <v>1</v>
      </c>
      <c r="G7" s="14">
        <f>1551.7568*E7*F7</f>
        <v>77.58784000000001</v>
      </c>
      <c r="H7" s="14">
        <f>5075.9187886426*E7*F7</f>
        <v>253.79593943213</v>
      </c>
      <c r="I7" s="14">
        <f t="shared" si="0"/>
        <v>0</v>
      </c>
      <c r="J7" s="14">
        <f>1477.2724736*E7*F7</f>
        <v>73.86362368</v>
      </c>
      <c r="K7" s="14">
        <f>851.01954653547*E7*F7</f>
        <v>42.550977326773506</v>
      </c>
      <c r="L7" s="14">
        <f>310.35136*E7*F7</f>
        <v>15.517568</v>
      </c>
      <c r="M7" s="14">
        <f t="shared" si="1"/>
        <v>463.31594843890355</v>
      </c>
      <c r="N7" s="18">
        <f>IF(N4&gt;0,(M7/$N$4/12),0)</f>
        <v>0.0037782231500057373</v>
      </c>
    </row>
    <row r="8" spans="2:14" ht="12">
      <c r="B8" s="9">
        <v>3</v>
      </c>
      <c r="C8" s="7" t="s">
        <v>20</v>
      </c>
      <c r="D8" s="7" t="s">
        <v>21</v>
      </c>
      <c r="E8" s="11">
        <v>0.3</v>
      </c>
      <c r="F8" s="11">
        <v>1</v>
      </c>
      <c r="G8" s="14">
        <f>3614.92288*E8*F8</f>
        <v>1084.476864</v>
      </c>
      <c r="H8" s="14">
        <f>7488.35434*E8*F8</f>
        <v>2246.506302</v>
      </c>
      <c r="I8" s="14">
        <f t="shared" si="0"/>
        <v>0</v>
      </c>
      <c r="J8" s="14">
        <f>3441.40658176*E8*F8</f>
        <v>1032.421974528</v>
      </c>
      <c r="K8" s="14">
        <f>1527.1917991848*E8*F8</f>
        <v>458.15753975544</v>
      </c>
      <c r="L8" s="14">
        <f>722.984576*E8*F8</f>
        <v>216.8953728</v>
      </c>
      <c r="M8" s="14">
        <f t="shared" si="1"/>
        <v>5038.458053083439</v>
      </c>
      <c r="N8" s="18">
        <f>IF(N4&gt;0,(M8/$N$4/12),0)</f>
        <v>0.04108733774573049</v>
      </c>
    </row>
    <row r="9" spans="2:14" ht="12">
      <c r="B9" s="9">
        <v>4</v>
      </c>
      <c r="C9" s="7" t="s">
        <v>22</v>
      </c>
      <c r="D9" s="7" t="s">
        <v>21</v>
      </c>
      <c r="E9" s="11">
        <v>0.1</v>
      </c>
      <c r="F9" s="11">
        <v>1</v>
      </c>
      <c r="G9" s="14">
        <f>5108.0832*E9*F9</f>
        <v>510.80832000000004</v>
      </c>
      <c r="H9" s="14">
        <f>3045.3912*E9*F9</f>
        <v>304.53912</v>
      </c>
      <c r="I9" s="14">
        <f t="shared" si="0"/>
        <v>0</v>
      </c>
      <c r="J9" s="14">
        <f>4862.8952064*E9*F9</f>
        <v>486.28952064</v>
      </c>
      <c r="K9" s="14">
        <f>1366.718808672*E9*F9</f>
        <v>136.6718808672</v>
      </c>
      <c r="L9" s="14">
        <f>1021.61664*E9*F9</f>
        <v>102.161664</v>
      </c>
      <c r="M9" s="14">
        <f t="shared" si="1"/>
        <v>1540.4705055071997</v>
      </c>
      <c r="N9" s="18">
        <f>IF(N4&gt;0,(M9/$N$4/12),0)</f>
        <v>0.012562143274840981</v>
      </c>
    </row>
    <row r="10" spans="2:14" ht="24">
      <c r="B10" s="9">
        <v>5</v>
      </c>
      <c r="C10" s="7" t="s">
        <v>23</v>
      </c>
      <c r="D10" s="7" t="s">
        <v>24</v>
      </c>
      <c r="E10" s="11">
        <v>0.2</v>
      </c>
      <c r="F10" s="11">
        <v>1</v>
      </c>
      <c r="G10" s="14">
        <f>6515.967872*E10*F10</f>
        <v>1303.1935744000002</v>
      </c>
      <c r="H10" s="14">
        <f>18395.6558725*E10*F10</f>
        <v>3679.1311745000003</v>
      </c>
      <c r="I10" s="14">
        <f t="shared" si="0"/>
        <v>0</v>
      </c>
      <c r="J10" s="14">
        <f>6203.201414144*E10*F10</f>
        <v>1240.6402828288</v>
      </c>
      <c r="K10" s="14">
        <f>3267.0566416576*E10*F10</f>
        <v>653.41132833152</v>
      </c>
      <c r="L10" s="14">
        <f>1303.1935744*E10*F10</f>
        <v>260.63871488</v>
      </c>
      <c r="M10" s="14">
        <f t="shared" si="1"/>
        <v>7137.015074940321</v>
      </c>
      <c r="N10" s="18">
        <f>IF(N4&gt;0,(M10/$N$4/12),0)</f>
        <v>0.0582005339314049</v>
      </c>
    </row>
    <row r="11" spans="2:14" ht="36">
      <c r="B11" s="9">
        <v>6</v>
      </c>
      <c r="C11" s="7" t="s">
        <v>25</v>
      </c>
      <c r="D11" s="7" t="s">
        <v>21</v>
      </c>
      <c r="E11" s="11">
        <v>0.01</v>
      </c>
      <c r="F11" s="11">
        <v>1</v>
      </c>
      <c r="G11" s="14">
        <f>9091.88416*E11*F11</f>
        <v>90.9188416</v>
      </c>
      <c r="H11" s="14">
        <f>11932.42118179*E11*F11</f>
        <v>119.3242118179</v>
      </c>
      <c r="I11" s="14">
        <f t="shared" si="0"/>
        <v>0</v>
      </c>
      <c r="J11" s="14">
        <f>8655.47372032*E11*F11</f>
        <v>86.5547372032</v>
      </c>
      <c r="K11" s="14">
        <f>3116.3768015215*E11*F11</f>
        <v>31.163768015215002</v>
      </c>
      <c r="L11" s="14">
        <f>1818.376832*E11*F11</f>
        <v>18.18376832</v>
      </c>
      <c r="M11" s="14">
        <f t="shared" si="1"/>
        <v>346.14532695631505</v>
      </c>
      <c r="N11" s="18">
        <f>IF(N4&gt;0,(M11/$N$4/12),0)</f>
        <v>0.0028227266770746895</v>
      </c>
    </row>
    <row r="12" spans="2:14" ht="24">
      <c r="B12" s="9">
        <v>7</v>
      </c>
      <c r="C12" s="7" t="s">
        <v>26</v>
      </c>
      <c r="D12" s="7" t="s">
        <v>27</v>
      </c>
      <c r="E12" s="11">
        <v>0.25</v>
      </c>
      <c r="F12" s="11">
        <v>1</v>
      </c>
      <c r="G12" s="14">
        <f>4861.0944*E12*F12</f>
        <v>1215.2736</v>
      </c>
      <c r="H12" s="14">
        <f>6416.9675899544*E12*F12</f>
        <v>1604.2418974886</v>
      </c>
      <c r="I12" s="14">
        <f t="shared" si="0"/>
        <v>0</v>
      </c>
      <c r="J12" s="14">
        <f>4627.7618688*E12*F12</f>
        <v>1156.9404672</v>
      </c>
      <c r="K12" s="14">
        <f>1670.1115051692*E12*F12</f>
        <v>417.5278762923</v>
      </c>
      <c r="L12" s="14">
        <f>972.21888*E12*F12</f>
        <v>243.05472</v>
      </c>
      <c r="M12" s="14">
        <f t="shared" si="1"/>
        <v>4637.0385609809</v>
      </c>
      <c r="N12" s="18">
        <f>IF(N4&gt;0,(M12/$N$4/12),0)</f>
        <v>0.037813864378289624</v>
      </c>
    </row>
    <row r="13" spans="2:14" ht="36">
      <c r="B13" s="9">
        <v>8</v>
      </c>
      <c r="C13" s="7" t="s">
        <v>28</v>
      </c>
      <c r="D13" s="7" t="s">
        <v>29</v>
      </c>
      <c r="E13" s="11">
        <v>0.1</v>
      </c>
      <c r="F13" s="11">
        <v>1</v>
      </c>
      <c r="G13" s="14">
        <f>11316.032*E13*F13</f>
        <v>1131.6032</v>
      </c>
      <c r="H13" s="14">
        <f>6816.6238797084*E13*F13</f>
        <v>681.66238797084</v>
      </c>
      <c r="I13" s="14">
        <f>1286.246325*E13*F13</f>
        <v>128.62463250000002</v>
      </c>
      <c r="J13" s="14">
        <f>11537.35867648*E13*F13</f>
        <v>1153.735867648</v>
      </c>
      <c r="K13" s="14">
        <f>3250.4073925248*E13*F13</f>
        <v>325.04073925248</v>
      </c>
      <c r="L13" s="14">
        <f>2423.814848*E13*F13</f>
        <v>242.3814848</v>
      </c>
      <c r="M13" s="14">
        <f t="shared" si="1"/>
        <v>3663.04831217132</v>
      </c>
      <c r="N13" s="18">
        <f>IF(N4&gt;0,(M13/$N$4/12),0)</f>
        <v>0.029871222821633885</v>
      </c>
    </row>
    <row r="14" spans="2:14" ht="24">
      <c r="B14" s="9">
        <v>9</v>
      </c>
      <c r="C14" s="7" t="s">
        <v>30</v>
      </c>
      <c r="D14" s="7" t="s">
        <v>31</v>
      </c>
      <c r="E14" s="11">
        <v>0.2</v>
      </c>
      <c r="F14" s="11">
        <v>1</v>
      </c>
      <c r="G14" s="14">
        <f>1440.416*E14*F14</f>
        <v>288.0832</v>
      </c>
      <c r="H14" s="14">
        <f>532.92493753174*E14*F14</f>
        <v>106.58498750634801</v>
      </c>
      <c r="I14" s="14">
        <f>0*E14*F14</f>
        <v>0</v>
      </c>
      <c r="J14" s="14">
        <f>1371.276032*E14*F14</f>
        <v>274.2552064</v>
      </c>
      <c r="K14" s="14">
        <f>351.18478180083*E14*F14</f>
        <v>70.236956360166</v>
      </c>
      <c r="L14" s="14">
        <f>288.0832*E14*F14</f>
        <v>57.61664</v>
      </c>
      <c r="M14" s="14">
        <f t="shared" si="1"/>
        <v>796.776990266514</v>
      </c>
      <c r="N14" s="18">
        <f>IF(N4&gt;0,(M14/$N$4/12),0)</f>
        <v>0.006497512723574665</v>
      </c>
    </row>
    <row r="15" spans="2:14" ht="24">
      <c r="B15" s="9">
        <v>10</v>
      </c>
      <c r="C15" s="7" t="s">
        <v>32</v>
      </c>
      <c r="D15" s="7" t="s">
        <v>31</v>
      </c>
      <c r="E15" s="11">
        <v>0.1</v>
      </c>
      <c r="F15" s="11">
        <v>1</v>
      </c>
      <c r="G15" s="14">
        <f>2448.7072*E15*F15</f>
        <v>244.87072</v>
      </c>
      <c r="H15" s="14">
        <f>607.04345770314*E15*F15</f>
        <v>60.704345770314006</v>
      </c>
      <c r="I15" s="14">
        <f>0*E15*F15</f>
        <v>0</v>
      </c>
      <c r="J15" s="14">
        <f>2331.1692544*E15*F15</f>
        <v>233.11692544000005</v>
      </c>
      <c r="K15" s="14">
        <f>565.62659077083*E15*F15</f>
        <v>56.562659077083005</v>
      </c>
      <c r="L15" s="14">
        <f>489.74144*E15*F15</f>
        <v>48.974144</v>
      </c>
      <c r="M15" s="14">
        <f t="shared" si="1"/>
        <v>644.2287942873971</v>
      </c>
      <c r="N15" s="18">
        <f>IF(N4&gt;0,(M15/$N$4/12),0)</f>
        <v>0.0052535211720601905</v>
      </c>
    </row>
    <row r="16" spans="2:14" ht="24">
      <c r="B16" s="9">
        <v>11</v>
      </c>
      <c r="C16" s="7" t="s">
        <v>33</v>
      </c>
      <c r="D16" s="7" t="s">
        <v>31</v>
      </c>
      <c r="E16" s="11">
        <v>0.1</v>
      </c>
      <c r="F16" s="11">
        <v>1</v>
      </c>
      <c r="G16" s="14">
        <f>5941.3376*E16*F16</f>
        <v>594.13376</v>
      </c>
      <c r="H16" s="14">
        <f>2345.4422006562*E16*F16</f>
        <v>234.54422006562</v>
      </c>
      <c r="I16" s="14">
        <f>0*E16*F16</f>
        <v>0</v>
      </c>
      <c r="J16" s="14">
        <f>5656.1533952*E16*F16</f>
        <v>565.61533952</v>
      </c>
      <c r="K16" s="14">
        <f>1464.0079855649*E16*F16</f>
        <v>146.40079855649</v>
      </c>
      <c r="L16" s="14">
        <f>1188.26752*E16*F16</f>
        <v>118.82675200000001</v>
      </c>
      <c r="M16" s="14">
        <f t="shared" si="1"/>
        <v>1659.52087014211</v>
      </c>
      <c r="N16" s="18">
        <f>IF(N4&gt;0,(M16/$N$4/12),0)</f>
        <v>0.013532968572773836</v>
      </c>
    </row>
    <row r="17" spans="2:14" ht="12">
      <c r="B17" s="9">
        <v>12</v>
      </c>
      <c r="C17" s="7" t="s">
        <v>34</v>
      </c>
      <c r="D17" s="7" t="s">
        <v>35</v>
      </c>
      <c r="E17" s="11">
        <v>5</v>
      </c>
      <c r="F17" s="11">
        <v>1</v>
      </c>
      <c r="G17" s="14">
        <f>187.25408*E17*F17</f>
        <v>936.2703999999999</v>
      </c>
      <c r="H17" s="14">
        <f>6.3546658*E17*F17</f>
        <v>31.773329</v>
      </c>
      <c r="I17" s="14">
        <f>0*E17*F17</f>
        <v>0</v>
      </c>
      <c r="J17" s="14">
        <f>178.26588416*E17*F17</f>
        <v>891.3294208000001</v>
      </c>
      <c r="K17" s="14">
        <f>39.0468361458*E17*F17</f>
        <v>195.234180729</v>
      </c>
      <c r="L17" s="14">
        <f>37.450816*E17*F17</f>
        <v>187.25408000000002</v>
      </c>
      <c r="M17" s="14">
        <f t="shared" si="1"/>
        <v>2241.8614105290003</v>
      </c>
      <c r="N17" s="18">
        <f>IF(N4&gt;0,(M17/$N$4/12),0)</f>
        <v>0.018281806851037287</v>
      </c>
    </row>
    <row r="18" spans="2:14" ht="24">
      <c r="B18" s="9">
        <v>13</v>
      </c>
      <c r="C18" s="7" t="s">
        <v>36</v>
      </c>
      <c r="D18" s="7" t="s">
        <v>27</v>
      </c>
      <c r="E18" s="11">
        <v>0.4</v>
      </c>
      <c r="F18" s="11">
        <v>1</v>
      </c>
      <c r="G18" s="14">
        <f>4861.0944*E18*F18</f>
        <v>1944.43776</v>
      </c>
      <c r="H18" s="14">
        <f>25530.832470366*E18*F18</f>
        <v>10212.332988146401</v>
      </c>
      <c r="I18" s="14">
        <f>235.126892*E18*F18</f>
        <v>94.0507568</v>
      </c>
      <c r="J18" s="14">
        <f>4677.070777344*E18*F18</f>
        <v>1870.8283109376</v>
      </c>
      <c r="K18" s="14">
        <f>3706.9330766695*E18*F18</f>
        <v>1482.7732306678001</v>
      </c>
      <c r="L18" s="14">
        <f>982.5778944*E18*F18</f>
        <v>393.03115776000004</v>
      </c>
      <c r="M18" s="14">
        <f t="shared" si="1"/>
        <v>15997.454204311804</v>
      </c>
      <c r="N18" s="18">
        <f>IF(N4&gt;0,(M18/$N$4/12),0)</f>
        <v>0.13045515057174384</v>
      </c>
    </row>
    <row r="19" spans="2:14" ht="12">
      <c r="B19" s="9">
        <v>14</v>
      </c>
      <c r="C19" s="7" t="s">
        <v>37</v>
      </c>
      <c r="D19" s="7" t="s">
        <v>38</v>
      </c>
      <c r="E19" s="11">
        <v>3</v>
      </c>
      <c r="F19" s="11">
        <v>1</v>
      </c>
      <c r="G19" s="14">
        <f>253.92384*E19*F19</f>
        <v>761.77152</v>
      </c>
      <c r="H19" s="14">
        <f>124.867705728*E19*F19</f>
        <v>374.603117184</v>
      </c>
      <c r="I19" s="14">
        <f>0*E19*F19</f>
        <v>0</v>
      </c>
      <c r="J19" s="14">
        <f>241.73549568*E19*F19</f>
        <v>725.2064870400001</v>
      </c>
      <c r="K19" s="14">
        <f>65.15533934784*E19*F19</f>
        <v>195.46601804352</v>
      </c>
      <c r="L19" s="14">
        <f>50.784768*E19*F19</f>
        <v>152.354304</v>
      </c>
      <c r="M19" s="14">
        <f t="shared" si="1"/>
        <v>2209.40144626752</v>
      </c>
      <c r="N19" s="18">
        <f>IF(N4&gt;0,(M19/$N$4/12),0)</f>
        <v>0.018017104138267934</v>
      </c>
    </row>
    <row r="20" spans="2:14" ht="24">
      <c r="B20" s="9">
        <v>15</v>
      </c>
      <c r="C20" s="7" t="s">
        <v>39</v>
      </c>
      <c r="D20" s="7" t="s">
        <v>31</v>
      </c>
      <c r="E20" s="11">
        <v>0.04</v>
      </c>
      <c r="F20" s="11">
        <v>1</v>
      </c>
      <c r="G20" s="14">
        <f>2410.493568*E20*F20</f>
        <v>96.41974272</v>
      </c>
      <c r="H20" s="14">
        <f>1799.8650190996*E20*F20</f>
        <v>71.994600763984</v>
      </c>
      <c r="I20" s="14">
        <f>0.51506*E20*F20</f>
        <v>0.0206024</v>
      </c>
      <c r="J20" s="14">
        <f>2294.789876736*E20*F20</f>
        <v>91.79159506944</v>
      </c>
      <c r="K20" s="14">
        <f>683.09467000274*E20*F20</f>
        <v>27.323786800109602</v>
      </c>
      <c r="L20" s="14">
        <f>482.0987136*E20*F20</f>
        <v>19.283948544</v>
      </c>
      <c r="M20" s="14">
        <f t="shared" si="1"/>
        <v>306.83427629753356</v>
      </c>
      <c r="N20" s="18">
        <f>IF(N4&gt;0,(M20/$N$4/12),0)</f>
        <v>0.0025021551056653747</v>
      </c>
    </row>
    <row r="21" spans="2:14" ht="24">
      <c r="B21" s="9">
        <v>16</v>
      </c>
      <c r="C21" s="7" t="s">
        <v>40</v>
      </c>
      <c r="D21" s="7" t="s">
        <v>41</v>
      </c>
      <c r="E21" s="11">
        <v>0.6</v>
      </c>
      <c r="F21" s="11">
        <v>1</v>
      </c>
      <c r="G21" s="14">
        <f>859.09248*E21*F21</f>
        <v>515.455488</v>
      </c>
      <c r="H21" s="14">
        <f>232.40128160936*E21*F21</f>
        <v>139.440768965616</v>
      </c>
      <c r="I21" s="14">
        <f aca="true" t="shared" si="2" ref="I21:I27">0*E21*F21</f>
        <v>0</v>
      </c>
      <c r="J21" s="14">
        <f>817.85604096*E21*F21</f>
        <v>490.713624576</v>
      </c>
      <c r="K21" s="14">
        <f>200.48172926978*E21*F21</f>
        <v>120.289037561868</v>
      </c>
      <c r="L21" s="14">
        <f>171.818496*E21*F21</f>
        <v>103.0910976</v>
      </c>
      <c r="M21" s="14">
        <f t="shared" si="1"/>
        <v>1368.9900167034841</v>
      </c>
      <c r="N21" s="18">
        <f>IF(N4&gt;0,(M21/$N$4/12),0)</f>
        <v>0.01116376371386212</v>
      </c>
    </row>
    <row r="22" spans="2:14" ht="24">
      <c r="B22" s="9">
        <v>17</v>
      </c>
      <c r="C22" s="7" t="s">
        <v>42</v>
      </c>
      <c r="D22" s="7" t="s">
        <v>43</v>
      </c>
      <c r="E22" s="11">
        <v>6</v>
      </c>
      <c r="F22" s="11">
        <v>1</v>
      </c>
      <c r="G22" s="14">
        <f>25.392384*E22*F22</f>
        <v>152.354304</v>
      </c>
      <c r="H22" s="14">
        <f>71.20137491494*E22*F22</f>
        <v>427.20824948964</v>
      </c>
      <c r="I22" s="14">
        <f t="shared" si="2"/>
        <v>0</v>
      </c>
      <c r="J22" s="14">
        <f>24.173549568*E22*F22</f>
        <v>145.041297408</v>
      </c>
      <c r="K22" s="14">
        <f>12.680567390709*E22*F22</f>
        <v>76.08340434425399</v>
      </c>
      <c r="L22" s="14">
        <f>5.0784768*E22*F22</f>
        <v>30.470860799999997</v>
      </c>
      <c r="M22" s="14">
        <f t="shared" si="1"/>
        <v>831.158116041894</v>
      </c>
      <c r="N22" s="18">
        <f>IF(N4&gt;0,(M22/$N$4/12),0)</f>
        <v>0.006777882017499217</v>
      </c>
    </row>
    <row r="23" spans="2:14" ht="12">
      <c r="B23" s="9">
        <v>18</v>
      </c>
      <c r="C23" s="7" t="s">
        <v>44</v>
      </c>
      <c r="D23" s="7" t="s">
        <v>43</v>
      </c>
      <c r="E23" s="11">
        <v>12</v>
      </c>
      <c r="F23" s="11">
        <v>1</v>
      </c>
      <c r="G23" s="14">
        <f>8.464128*E23*F23</f>
        <v>101.569536</v>
      </c>
      <c r="H23" s="14">
        <f>0.70625033494*E23*F23</f>
        <v>8.47500401928</v>
      </c>
      <c r="I23" s="14">
        <f t="shared" si="2"/>
        <v>0</v>
      </c>
      <c r="J23" s="14">
        <f>8.057849856*E23*F23</f>
        <v>96.69419827200001</v>
      </c>
      <c r="K23" s="14">
        <f>1.8089639600487*E23*F23</f>
        <v>21.707567520584398</v>
      </c>
      <c r="L23" s="14">
        <f>1.6928256*E23*F23</f>
        <v>20.3139072</v>
      </c>
      <c r="M23" s="14">
        <f t="shared" si="1"/>
        <v>248.7602130118644</v>
      </c>
      <c r="N23" s="18">
        <f>IF(N4&gt;0,(M23/$N$4/12),0)</f>
        <v>0.0020285759615411196</v>
      </c>
    </row>
    <row r="24" spans="2:14" ht="12">
      <c r="B24" s="9">
        <v>19</v>
      </c>
      <c r="C24" s="7" t="s">
        <v>45</v>
      </c>
      <c r="D24" s="7" t="s">
        <v>46</v>
      </c>
      <c r="E24" s="11">
        <v>6</v>
      </c>
      <c r="F24" s="11">
        <v>1</v>
      </c>
      <c r="G24" s="14">
        <f>74.772864*E24*F24</f>
        <v>448.637184</v>
      </c>
      <c r="H24" s="14">
        <f>106.49959120182*E24*F24</f>
        <v>638.99754721092</v>
      </c>
      <c r="I24" s="14">
        <f t="shared" si="2"/>
        <v>0</v>
      </c>
      <c r="J24" s="14">
        <f>71.183766528*E24*F24</f>
        <v>427.10259916800004</v>
      </c>
      <c r="K24" s="14">
        <f>26.507903281631*E24*F24</f>
        <v>159.04741968978598</v>
      </c>
      <c r="L24" s="14">
        <f>14.9545728*E24*F24</f>
        <v>89.72743679999999</v>
      </c>
      <c r="M24" s="14">
        <f t="shared" si="1"/>
        <v>1763.512186868706</v>
      </c>
      <c r="N24" s="18">
        <f>IF(N4&gt;0,(M24/$N$4/12),0)</f>
        <v>0.014380991183650603</v>
      </c>
    </row>
    <row r="25" spans="2:14" ht="12">
      <c r="B25" s="9">
        <v>20</v>
      </c>
      <c r="C25" s="7" t="s">
        <v>47</v>
      </c>
      <c r="D25" s="7" t="s">
        <v>48</v>
      </c>
      <c r="E25" s="11">
        <v>6</v>
      </c>
      <c r="F25" s="11">
        <v>1</v>
      </c>
      <c r="G25" s="14">
        <f>21.16032*E25*F25</f>
        <v>126.96191999999999</v>
      </c>
      <c r="H25" s="14">
        <f>106.48624640364*E25*F25</f>
        <v>638.91747842184</v>
      </c>
      <c r="I25" s="14">
        <f t="shared" si="2"/>
        <v>0</v>
      </c>
      <c r="J25" s="14">
        <f>20.14462464*E25*F25</f>
        <v>120.86774783999999</v>
      </c>
      <c r="K25" s="14">
        <f>15.518075059582*E25*F25</f>
        <v>93.10845035749199</v>
      </c>
      <c r="L25" s="14">
        <f>4.232064*E25*F25</f>
        <v>25.392384</v>
      </c>
      <c r="M25" s="14">
        <f t="shared" si="1"/>
        <v>1005.2479806193319</v>
      </c>
      <c r="N25" s="18">
        <f>IF(N4&gt;0,(M25/$N$4/12),0)</f>
        <v>0.008197540371035423</v>
      </c>
    </row>
    <row r="26" spans="2:14" ht="12">
      <c r="B26" s="9">
        <v>21</v>
      </c>
      <c r="C26" s="7" t="s">
        <v>49</v>
      </c>
      <c r="D26" s="7" t="s">
        <v>50</v>
      </c>
      <c r="E26" s="11">
        <v>0.05</v>
      </c>
      <c r="F26" s="11">
        <v>1</v>
      </c>
      <c r="G26" s="14">
        <f>15066.14784*E26*F26</f>
        <v>753.307392</v>
      </c>
      <c r="H26" s="14">
        <f>66005.580691728*E26*F26</f>
        <v>3300.2790345864</v>
      </c>
      <c r="I26" s="14">
        <f t="shared" si="2"/>
        <v>0</v>
      </c>
      <c r="J26" s="14">
        <f>14342.97274368*E26*F26</f>
        <v>717.1486371840001</v>
      </c>
      <c r="K26" s="14">
        <f>10018.543633918*E26*F26</f>
        <v>500.9271816959</v>
      </c>
      <c r="L26" s="14">
        <f>3013.229568*E26*F26</f>
        <v>150.66147840000002</v>
      </c>
      <c r="M26" s="14">
        <f t="shared" si="1"/>
        <v>5422.3237238663005</v>
      </c>
      <c r="N26" s="18">
        <f>IF(N4&gt;0,(M26/$N$4/12),0)</f>
        <v>0.04421766418653408</v>
      </c>
    </row>
    <row r="27" spans="2:14" ht="24">
      <c r="B27" s="9">
        <v>22</v>
      </c>
      <c r="C27" s="7" t="s">
        <v>51</v>
      </c>
      <c r="D27" s="7" t="s">
        <v>52</v>
      </c>
      <c r="E27" s="11">
        <v>0.05</v>
      </c>
      <c r="F27" s="11">
        <v>1</v>
      </c>
      <c r="G27" s="14">
        <f>20681.856*E27*F27</f>
        <v>1034.0928000000001</v>
      </c>
      <c r="H27" s="14">
        <f>286236.91212061*E27*F27</f>
        <v>14311.845606030502</v>
      </c>
      <c r="I27" s="14">
        <f t="shared" si="2"/>
        <v>0</v>
      </c>
      <c r="J27" s="14">
        <f>19689.126912*E27*F27</f>
        <v>984.4563456000001</v>
      </c>
      <c r="K27" s="14">
        <f>34293.828978424*E27*F27</f>
        <v>1714.6914489212</v>
      </c>
      <c r="L27" s="14">
        <f>4136.3712*E27*F27</f>
        <v>206.81856</v>
      </c>
      <c r="M27" s="14">
        <f t="shared" si="1"/>
        <v>18251.9047605517</v>
      </c>
      <c r="N27" s="18">
        <f>IF(N4&gt;0,(M27/$N$4/12),0)</f>
        <v>0.14883961868864942</v>
      </c>
    </row>
    <row r="28" spans="2:14" ht="19.5" customHeight="1">
      <c r="B28" s="42" t="s">
        <v>53</v>
      </c>
      <c r="C28" s="43"/>
      <c r="D28" s="43"/>
      <c r="E28" s="43"/>
      <c r="F28" s="43"/>
      <c r="G28" s="15">
        <f aca="true" t="shared" si="3" ref="G28:N28">SUM(G6:G27)</f>
        <v>13694.365566720002</v>
      </c>
      <c r="H28" s="15">
        <f t="shared" si="3"/>
        <v>39954.494189234596</v>
      </c>
      <c r="I28" s="15">
        <f t="shared" si="3"/>
        <v>222.6959917</v>
      </c>
      <c r="J28" s="15">
        <f t="shared" si="3"/>
        <v>13133.20920418304</v>
      </c>
      <c r="K28" s="15">
        <f t="shared" si="3"/>
        <v>7035.500319942932</v>
      </c>
      <c r="L28" s="15">
        <f t="shared" si="3"/>
        <v>2759.077563904</v>
      </c>
      <c r="M28" s="15">
        <f t="shared" si="3"/>
        <v>76799.34283568457</v>
      </c>
      <c r="N28" s="19">
        <f t="shared" si="3"/>
        <v>0.6262790132407328</v>
      </c>
    </row>
    <row r="29" spans="2:14" ht="21.75" customHeight="1">
      <c r="B29" s="38" t="s">
        <v>54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1"/>
    </row>
    <row r="30" spans="2:14" ht="24">
      <c r="B30" s="8">
        <v>23</v>
      </c>
      <c r="C30" s="6" t="s">
        <v>55</v>
      </c>
      <c r="D30" s="6" t="s">
        <v>21</v>
      </c>
      <c r="E30" s="10">
        <v>0.2</v>
      </c>
      <c r="F30" s="10">
        <v>1</v>
      </c>
      <c r="G30" s="13">
        <f>12156.48*E30*F30</f>
        <v>2431.296</v>
      </c>
      <c r="H30" s="13">
        <f>18463.141512961*E30*F30</f>
        <v>3692.6283025922003</v>
      </c>
      <c r="I30" s="13">
        <f aca="true" t="shared" si="4" ref="I30:I41">0*E30*F30</f>
        <v>0</v>
      </c>
      <c r="J30" s="13">
        <f>11572.96896*E30*F30</f>
        <v>2314.593792</v>
      </c>
      <c r="K30" s="13">
        <f>4430.2219996609*E30*F30</f>
        <v>886.0443999321801</v>
      </c>
      <c r="L30" s="13">
        <f>2431.296*E30*F30</f>
        <v>486.25919999999996</v>
      </c>
      <c r="M30" s="13">
        <f aca="true" t="shared" si="5" ref="M30:M61">SUM(G30:L30)</f>
        <v>9810.82169452438</v>
      </c>
      <c r="N30" s="17">
        <f>IF(N4&gt;0,(M30/$N$4/12),0)</f>
        <v>0.08000474357018283</v>
      </c>
    </row>
    <row r="31" spans="2:14" ht="24">
      <c r="B31" s="9">
        <v>24</v>
      </c>
      <c r="C31" s="7" t="s">
        <v>56</v>
      </c>
      <c r="D31" s="7" t="s">
        <v>21</v>
      </c>
      <c r="E31" s="11">
        <v>0.2</v>
      </c>
      <c r="F31" s="11">
        <v>1</v>
      </c>
      <c r="G31" s="14">
        <f>15458.24*E31*F31</f>
        <v>3091.648</v>
      </c>
      <c r="H31" s="14">
        <f>33464.715957308*E31*F31</f>
        <v>6692.9431914616</v>
      </c>
      <c r="I31" s="14">
        <f t="shared" si="4"/>
        <v>0</v>
      </c>
      <c r="J31" s="14">
        <f>14716.24448*E31*F31</f>
        <v>2943.248896</v>
      </c>
      <c r="K31" s="14">
        <f>6682.1160459174*E31*F31</f>
        <v>1336.4232091834801</v>
      </c>
      <c r="L31" s="14">
        <f>3091.648*E31*F31</f>
        <v>618.3296</v>
      </c>
      <c r="M31" s="14">
        <f t="shared" si="5"/>
        <v>14682.592896645081</v>
      </c>
      <c r="N31" s="18">
        <f>IF(N4&gt;0,(M31/$N$4/12),0)</f>
        <v>0.1197327926464191</v>
      </c>
    </row>
    <row r="32" spans="2:14" ht="24">
      <c r="B32" s="9">
        <v>25</v>
      </c>
      <c r="C32" s="7" t="s">
        <v>57</v>
      </c>
      <c r="D32" s="7" t="s">
        <v>21</v>
      </c>
      <c r="E32" s="11">
        <v>0.01</v>
      </c>
      <c r="F32" s="11">
        <v>1</v>
      </c>
      <c r="G32" s="14">
        <f>19960.64*E32*F32</f>
        <v>199.6064</v>
      </c>
      <c r="H32" s="14">
        <f>69678.25722271*E32*F32</f>
        <v>696.7825722271</v>
      </c>
      <c r="I32" s="14">
        <f t="shared" si="4"/>
        <v>0</v>
      </c>
      <c r="J32" s="14">
        <f>19002.52928*E32*F32</f>
        <v>190.0252928</v>
      </c>
      <c r="K32" s="14">
        <f>11407.349782785*E32*F32</f>
        <v>114.07349782785</v>
      </c>
      <c r="L32" s="14">
        <f>3992.128*E32*F32</f>
        <v>39.92128</v>
      </c>
      <c r="M32" s="14">
        <f t="shared" si="5"/>
        <v>1240.40904285495</v>
      </c>
      <c r="N32" s="18">
        <f>IF(N4&gt;0,(M32/$N$4/12),0)</f>
        <v>0.010115218733527009</v>
      </c>
    </row>
    <row r="33" spans="2:14" ht="24">
      <c r="B33" s="9">
        <v>26</v>
      </c>
      <c r="C33" s="7" t="s">
        <v>58</v>
      </c>
      <c r="D33" s="7" t="s">
        <v>59</v>
      </c>
      <c r="E33" s="11">
        <v>2.5</v>
      </c>
      <c r="F33" s="11">
        <v>1</v>
      </c>
      <c r="G33" s="14">
        <f>1493.436224*E33*F33</f>
        <v>3733.59056</v>
      </c>
      <c r="H33" s="14">
        <f>978.9418920043*E33*F33</f>
        <v>2447.3547300107502</v>
      </c>
      <c r="I33" s="14">
        <f t="shared" si="4"/>
        <v>0</v>
      </c>
      <c r="J33" s="14">
        <f>1421.751285248*E33*F33</f>
        <v>3554.3782131199996</v>
      </c>
      <c r="K33" s="14">
        <f>408.88358713149*E33*F33</f>
        <v>1022.208967828725</v>
      </c>
      <c r="L33" s="14">
        <f>298.6872448*E33*F33</f>
        <v>746.7181119999999</v>
      </c>
      <c r="M33" s="14">
        <f t="shared" si="5"/>
        <v>11504.250582959474</v>
      </c>
      <c r="N33" s="18">
        <f>IF(N4&gt;0,(M33/$N$4/12),0)</f>
        <v>0.09381422336627421</v>
      </c>
    </row>
    <row r="34" spans="2:14" ht="24">
      <c r="B34" s="9">
        <v>27</v>
      </c>
      <c r="C34" s="7" t="s">
        <v>60</v>
      </c>
      <c r="D34" s="7" t="s">
        <v>61</v>
      </c>
      <c r="E34" s="11">
        <v>2</v>
      </c>
      <c r="F34" s="11">
        <v>1</v>
      </c>
      <c r="G34" s="14">
        <f>118.826752*E34*F34</f>
        <v>237.653504</v>
      </c>
      <c r="H34" s="14">
        <f>0*E34*F34</f>
        <v>0</v>
      </c>
      <c r="I34" s="14">
        <f t="shared" si="4"/>
        <v>0</v>
      </c>
      <c r="J34" s="14">
        <f>113.123067904*E34*F34</f>
        <v>226.246135808</v>
      </c>
      <c r="K34" s="14">
        <f>24.35473108992*E34*F34</f>
        <v>48.70946217984</v>
      </c>
      <c r="L34" s="14">
        <f>23.7653504*E34*F34</f>
        <v>47.5307008</v>
      </c>
      <c r="M34" s="14">
        <f t="shared" si="5"/>
        <v>560.1398027878399</v>
      </c>
      <c r="N34" s="18">
        <f>IF(N4&gt;0,(M34/$N$4/12),0)</f>
        <v>0.004567796936978829</v>
      </c>
    </row>
    <row r="35" spans="2:14" ht="24">
      <c r="B35" s="9">
        <v>28</v>
      </c>
      <c r="C35" s="7" t="s">
        <v>62</v>
      </c>
      <c r="D35" s="7" t="s">
        <v>63</v>
      </c>
      <c r="E35" s="11">
        <v>5</v>
      </c>
      <c r="F35" s="11">
        <v>1</v>
      </c>
      <c r="G35" s="14">
        <f>62.070272*E35*F35</f>
        <v>310.35136</v>
      </c>
      <c r="H35" s="14">
        <f>222.874152*E35*F35</f>
        <v>1114.37076</v>
      </c>
      <c r="I35" s="14">
        <f t="shared" si="4"/>
        <v>0</v>
      </c>
      <c r="J35" s="14">
        <f>59.090898944*E35*F35</f>
        <v>295.45449472</v>
      </c>
      <c r="K35" s="14">
        <f>36.12370890912*E35*F35</f>
        <v>180.6185445456</v>
      </c>
      <c r="L35" s="14">
        <f>12.4140544*E35*F35</f>
        <v>62.070271999999996</v>
      </c>
      <c r="M35" s="14">
        <f t="shared" si="5"/>
        <v>1962.8654312656</v>
      </c>
      <c r="N35" s="18">
        <f>IF(N4&gt;0,(M35/$N$4/12),0)</f>
        <v>0.01600666594306031</v>
      </c>
    </row>
    <row r="36" spans="2:14" ht="24">
      <c r="B36" s="9">
        <v>29</v>
      </c>
      <c r="C36" s="7" t="s">
        <v>64</v>
      </c>
      <c r="D36" s="7" t="s">
        <v>65</v>
      </c>
      <c r="E36" s="11">
        <v>5</v>
      </c>
      <c r="F36" s="11">
        <v>1</v>
      </c>
      <c r="G36" s="14">
        <f>168.636672*E36*F36</f>
        <v>843.18336</v>
      </c>
      <c r="H36" s="14">
        <f>3042.2347*E36*F36</f>
        <v>15211.1735</v>
      </c>
      <c r="I36" s="14">
        <f t="shared" si="4"/>
        <v>0</v>
      </c>
      <c r="J36" s="14">
        <f>160.542111744*E36*F36</f>
        <v>802.7105587200001</v>
      </c>
      <c r="K36" s="14">
        <f>353.99841579312*E36*F36</f>
        <v>1769.9920789655998</v>
      </c>
      <c r="L36" s="14">
        <f>33.7273344*E36*F36</f>
        <v>168.63667199999998</v>
      </c>
      <c r="M36" s="14">
        <f t="shared" si="5"/>
        <v>18795.696169685598</v>
      </c>
      <c r="N36" s="18">
        <f>IF(N4&gt;0,(M36/$N$4/12),0)</f>
        <v>0.15327409865353425</v>
      </c>
    </row>
    <row r="37" spans="2:14" ht="12">
      <c r="B37" s="9">
        <v>30</v>
      </c>
      <c r="C37" s="7" t="s">
        <v>66</v>
      </c>
      <c r="D37" s="7" t="s">
        <v>67</v>
      </c>
      <c r="E37" s="11">
        <v>3</v>
      </c>
      <c r="F37" s="11">
        <v>1</v>
      </c>
      <c r="G37" s="14">
        <f>11.285504*E37*F37</f>
        <v>33.856511999999995</v>
      </c>
      <c r="H37" s="14">
        <f>1053.4742994*E37*F37</f>
        <v>3160.4228982000004</v>
      </c>
      <c r="I37" s="14">
        <f t="shared" si="4"/>
        <v>0</v>
      </c>
      <c r="J37" s="14">
        <f>10.743799808*E37*F37</f>
        <v>32.231399424</v>
      </c>
      <c r="K37" s="14">
        <f>112.92787833684*E37*F37</f>
        <v>338.78363501052</v>
      </c>
      <c r="L37" s="14">
        <f>2.2571008*E37*F37</f>
        <v>6.7713024</v>
      </c>
      <c r="M37" s="14">
        <f t="shared" si="5"/>
        <v>3572.06574703452</v>
      </c>
      <c r="N37" s="18">
        <f>IF(N4&gt;0,(M37/$N$4/12),0)</f>
        <v>0.029129283255329288</v>
      </c>
    </row>
    <row r="38" spans="2:14" ht="12">
      <c r="B38" s="9">
        <v>31</v>
      </c>
      <c r="C38" s="7" t="s">
        <v>68</v>
      </c>
      <c r="D38" s="7" t="s">
        <v>69</v>
      </c>
      <c r="E38" s="11">
        <v>1</v>
      </c>
      <c r="F38" s="11">
        <v>1</v>
      </c>
      <c r="G38" s="14">
        <f>62.070272*E38*F38</f>
        <v>62.070272</v>
      </c>
      <c r="H38" s="14">
        <f>173.746386*E38*F38</f>
        <v>173.746386</v>
      </c>
      <c r="I38" s="14">
        <f t="shared" si="4"/>
        <v>0</v>
      </c>
      <c r="J38" s="14">
        <f>59.090898944*E38*F38</f>
        <v>59.090898944</v>
      </c>
      <c r="K38" s="14">
        <f>30.96529347912*E38*F38</f>
        <v>30.96529347912</v>
      </c>
      <c r="L38" s="14">
        <f>12.4140544*E38*F38</f>
        <v>12.4140544</v>
      </c>
      <c r="M38" s="14">
        <f t="shared" si="5"/>
        <v>338.28690482312004</v>
      </c>
      <c r="N38" s="18">
        <f>IF(N4&gt;0,(M38/$N$4/12),0)</f>
        <v>0.0027586432529529965</v>
      </c>
    </row>
    <row r="39" spans="2:14" ht="12">
      <c r="B39" s="9">
        <v>32</v>
      </c>
      <c r="C39" s="7" t="s">
        <v>70</v>
      </c>
      <c r="D39" s="7" t="s">
        <v>71</v>
      </c>
      <c r="E39" s="11">
        <v>3</v>
      </c>
      <c r="F39" s="11">
        <v>1</v>
      </c>
      <c r="G39" s="14">
        <f>149.532928*E39*F39</f>
        <v>448.598784</v>
      </c>
      <c r="H39" s="14">
        <f>36.5146394696*E39*F39</f>
        <v>109.5439184088</v>
      </c>
      <c r="I39" s="14">
        <f t="shared" si="4"/>
        <v>0</v>
      </c>
      <c r="J39" s="14">
        <f>142.355347456*E39*F39</f>
        <v>427.066042368</v>
      </c>
      <c r="K39" s="14">
        <f>34.482306067188*E39*F39</f>
        <v>103.44691820156399</v>
      </c>
      <c r="L39" s="14">
        <f>29.9065856*E39*F39</f>
        <v>89.7197568</v>
      </c>
      <c r="M39" s="14">
        <f t="shared" si="5"/>
        <v>1178.375419778364</v>
      </c>
      <c r="N39" s="18">
        <f>IF(N4&gt;0,(M39/$N$4/12),0)</f>
        <v>0.009609350391251296</v>
      </c>
    </row>
    <row r="40" spans="2:14" ht="12">
      <c r="B40" s="9">
        <v>33</v>
      </c>
      <c r="C40" s="7" t="s">
        <v>72</v>
      </c>
      <c r="D40" s="7" t="s">
        <v>73</v>
      </c>
      <c r="E40" s="11">
        <v>0.04</v>
      </c>
      <c r="F40" s="11">
        <v>12</v>
      </c>
      <c r="G40" s="14">
        <f>1692.8256*E40*F40</f>
        <v>812.5562879999999</v>
      </c>
      <c r="H40" s="14">
        <f>0*E40*F40</f>
        <v>0</v>
      </c>
      <c r="I40" s="14">
        <f t="shared" si="4"/>
        <v>0</v>
      </c>
      <c r="J40" s="14">
        <f>1611.5699712*E40*F40</f>
        <v>773.5535861760001</v>
      </c>
      <c r="K40" s="14">
        <f>346.961534976*E40*F40</f>
        <v>166.54153678848002</v>
      </c>
      <c r="L40" s="14">
        <f>338.56512*E40*F40</f>
        <v>162.5112576</v>
      </c>
      <c r="M40" s="14">
        <f t="shared" si="5"/>
        <v>1915.1626685644799</v>
      </c>
      <c r="N40" s="18">
        <f>IF(N4&gt;0,(M40/$N$4/12),0)</f>
        <v>0.015617662104612975</v>
      </c>
    </row>
    <row r="41" spans="2:14" ht="12">
      <c r="B41" s="9">
        <v>34</v>
      </c>
      <c r="C41" s="7" t="s">
        <v>74</v>
      </c>
      <c r="D41" s="7" t="s">
        <v>75</v>
      </c>
      <c r="E41" s="11">
        <v>200</v>
      </c>
      <c r="F41" s="11">
        <v>1</v>
      </c>
      <c r="G41" s="14">
        <f>13.401536*E41*F41</f>
        <v>2680.3072</v>
      </c>
      <c r="H41" s="14">
        <f>236.219834*E41*F41</f>
        <v>47243.966799999995</v>
      </c>
      <c r="I41" s="14">
        <f t="shared" si="4"/>
        <v>0</v>
      </c>
      <c r="J41" s="14">
        <f>12.758262272*E41*F41</f>
        <v>2551.6524544</v>
      </c>
      <c r="K41" s="14">
        <f>27.54986138856*E41*F41</f>
        <v>5509.972277712</v>
      </c>
      <c r="L41" s="14">
        <f>2.6803072*E41*F41</f>
        <v>536.0614400000001</v>
      </c>
      <c r="M41" s="14">
        <f t="shared" si="5"/>
        <v>58521.96017211199</v>
      </c>
      <c r="N41" s="18">
        <f>IF(N4&gt;0,(M41/$N$4/12),0)</f>
        <v>0.47723162876432784</v>
      </c>
    </row>
    <row r="42" spans="2:14" ht="24">
      <c r="B42" s="9">
        <v>35</v>
      </c>
      <c r="C42" s="7" t="s">
        <v>76</v>
      </c>
      <c r="D42" s="7" t="s">
        <v>77</v>
      </c>
      <c r="E42" s="11">
        <v>1</v>
      </c>
      <c r="F42" s="11">
        <v>1</v>
      </c>
      <c r="G42" s="14">
        <f>262.387968*E42*F42</f>
        <v>262.387968</v>
      </c>
      <c r="H42" s="14">
        <f>1253.52973412*E42*F42</f>
        <v>1253.52973412</v>
      </c>
      <c r="I42" s="14">
        <f>443.38992021379*E42*F42</f>
        <v>443.38992021379</v>
      </c>
      <c r="J42" s="14">
        <f>315.78598606394*E42*F42</f>
        <v>315.78598606394</v>
      </c>
      <c r="K42" s="14">
        <f>238.88482888176*E42*F42</f>
        <v>238.88482888176</v>
      </c>
      <c r="L42" s="14">
        <f>66.341593710912*E42*F42</f>
        <v>66.341593710912</v>
      </c>
      <c r="M42" s="14">
        <f t="shared" si="5"/>
        <v>2580.320030990402</v>
      </c>
      <c r="N42" s="18">
        <f>IF(N4&gt;0,(M42/$N$4/12),0)</f>
        <v>0.021041850401135154</v>
      </c>
    </row>
    <row r="43" spans="2:14" ht="24">
      <c r="B43" s="9">
        <v>36</v>
      </c>
      <c r="C43" s="7" t="s">
        <v>78</v>
      </c>
      <c r="D43" s="7" t="s">
        <v>79</v>
      </c>
      <c r="E43" s="11">
        <v>1.02</v>
      </c>
      <c r="F43" s="11">
        <v>1</v>
      </c>
      <c r="G43" s="14">
        <f>3277.27872*E43*F43</f>
        <v>3342.8242944</v>
      </c>
      <c r="H43" s="14">
        <f>3591.848923847*E43*F43</f>
        <v>3663.6859023239404</v>
      </c>
      <c r="I43" s="14">
        <f aca="true" t="shared" si="6" ref="I43:I58">0*E43*F43</f>
        <v>0</v>
      </c>
      <c r="J43" s="14">
        <f>3119.96934144*E43*F43</f>
        <v>3182.3687282687997</v>
      </c>
      <c r="K43" s="14">
        <f>1048.8551834551*E43*F43</f>
        <v>1069.832287124202</v>
      </c>
      <c r="L43" s="14">
        <f>655.455744*E43*F43</f>
        <v>668.56485888</v>
      </c>
      <c r="M43" s="14">
        <f t="shared" si="5"/>
        <v>11927.27607099694</v>
      </c>
      <c r="N43" s="18">
        <f>IF(N4&gt;0,(M43/$N$4/12),0)</f>
        <v>0.09726388810872671</v>
      </c>
    </row>
    <row r="44" spans="2:14" ht="24">
      <c r="B44" s="9">
        <v>37</v>
      </c>
      <c r="C44" s="7" t="s">
        <v>80</v>
      </c>
      <c r="D44" s="7" t="s">
        <v>79</v>
      </c>
      <c r="E44" s="11">
        <v>1</v>
      </c>
      <c r="F44" s="11">
        <v>2</v>
      </c>
      <c r="G44" s="14">
        <f>55.016832*E44*F44</f>
        <v>110.033664</v>
      </c>
      <c r="H44" s="14">
        <f aca="true" t="shared" si="7" ref="H44:H51">0*E44*F44</f>
        <v>0</v>
      </c>
      <c r="I44" s="14">
        <f t="shared" si="6"/>
        <v>0</v>
      </c>
      <c r="J44" s="14">
        <f>52.376024064*E44*F44</f>
        <v>104.752048128</v>
      </c>
      <c r="K44" s="14">
        <f>11.27624988672*E44*F44</f>
        <v>22.55249977344</v>
      </c>
      <c r="L44" s="14">
        <f>11.0033664*E44*F44</f>
        <v>22.0067328</v>
      </c>
      <c r="M44" s="14">
        <f t="shared" si="5"/>
        <v>259.34494470144</v>
      </c>
      <c r="N44" s="18">
        <f>IF(N4&gt;0,(M44/$N$4/12),0)</f>
        <v>0.0021148917433330074</v>
      </c>
    </row>
    <row r="45" spans="2:14" ht="24">
      <c r="B45" s="9">
        <v>38</v>
      </c>
      <c r="C45" s="7" t="s">
        <v>81</v>
      </c>
      <c r="D45" s="7" t="s">
        <v>79</v>
      </c>
      <c r="E45" s="11">
        <v>1.48</v>
      </c>
      <c r="F45" s="11">
        <v>2</v>
      </c>
      <c r="G45" s="14">
        <f>438.723968*E45*F45</f>
        <v>1298.62294528</v>
      </c>
      <c r="H45" s="14">
        <f t="shared" si="7"/>
        <v>0</v>
      </c>
      <c r="I45" s="14">
        <f t="shared" si="6"/>
        <v>0</v>
      </c>
      <c r="J45" s="14">
        <f>417.665217536*E45*F45</f>
        <v>1236.28904390656</v>
      </c>
      <c r="K45" s="14">
        <f>89.92086448128*E45*F45</f>
        <v>266.16575886458884</v>
      </c>
      <c r="L45" s="14">
        <f>87.7447936*E45*F45</f>
        <v>259.72458905599996</v>
      </c>
      <c r="M45" s="14">
        <f t="shared" si="5"/>
        <v>3060.802337107149</v>
      </c>
      <c r="N45" s="18">
        <f>IF(N4&gt;0,(M45/$N$4/12),0)</f>
        <v>0.02496006081080299</v>
      </c>
    </row>
    <row r="46" spans="2:14" ht="12">
      <c r="B46" s="9">
        <v>39</v>
      </c>
      <c r="C46" s="7" t="s">
        <v>82</v>
      </c>
      <c r="D46" s="7" t="s">
        <v>83</v>
      </c>
      <c r="E46" s="11">
        <v>1.48</v>
      </c>
      <c r="F46" s="11">
        <v>2</v>
      </c>
      <c r="G46" s="14">
        <f>217.954944*E46*F46</f>
        <v>645.14663424</v>
      </c>
      <c r="H46" s="14">
        <f t="shared" si="7"/>
        <v>0</v>
      </c>
      <c r="I46" s="14">
        <f t="shared" si="6"/>
        <v>0</v>
      </c>
      <c r="J46" s="14">
        <f>207.493106688*E46*F46</f>
        <v>614.17959579648</v>
      </c>
      <c r="K46" s="14">
        <f>44.67204532224*E46*F46</f>
        <v>132.2292541538304</v>
      </c>
      <c r="L46" s="14">
        <f>43.5909888*E46*F46</f>
        <v>129.02932684799998</v>
      </c>
      <c r="M46" s="14">
        <f t="shared" si="5"/>
        <v>1520.5848110383104</v>
      </c>
      <c r="N46" s="18">
        <f>IF(N4&gt;0,(M46/$N$4/12),0)</f>
        <v>0.012399980518627967</v>
      </c>
    </row>
    <row r="47" spans="2:14" ht="12">
      <c r="B47" s="9">
        <v>40</v>
      </c>
      <c r="C47" s="7" t="s">
        <v>84</v>
      </c>
      <c r="D47" s="7" t="s">
        <v>83</v>
      </c>
      <c r="E47" s="11">
        <v>1.48</v>
      </c>
      <c r="F47" s="11">
        <v>2</v>
      </c>
      <c r="G47" s="14">
        <f>178.182144*E47*F47</f>
        <v>527.41914624</v>
      </c>
      <c r="H47" s="14">
        <f t="shared" si="7"/>
        <v>0</v>
      </c>
      <c r="I47" s="14">
        <f t="shared" si="6"/>
        <v>0</v>
      </c>
      <c r="J47" s="14">
        <f>169.629401088*E47*F47</f>
        <v>502.10302722048004</v>
      </c>
      <c r="K47" s="14">
        <f>36.52021223424*E47*F47</f>
        <v>108.09982821335039</v>
      </c>
      <c r="L47" s="14">
        <f>35.6364288*E47*F47</f>
        <v>105.48382924799999</v>
      </c>
      <c r="M47" s="14">
        <f t="shared" si="5"/>
        <v>1243.1058309218304</v>
      </c>
      <c r="N47" s="18">
        <f>IF(N4&gt;0,(M47/$N$4/12),0)</f>
        <v>0.010137210350995126</v>
      </c>
    </row>
    <row r="48" spans="2:14" ht="24">
      <c r="B48" s="9">
        <v>41</v>
      </c>
      <c r="C48" s="7" t="s">
        <v>85</v>
      </c>
      <c r="D48" s="7" t="s">
        <v>79</v>
      </c>
      <c r="E48" s="11">
        <v>1.48</v>
      </c>
      <c r="F48" s="11">
        <v>2</v>
      </c>
      <c r="G48" s="14">
        <f>636.3648*E48*F48</f>
        <v>1883.639808</v>
      </c>
      <c r="H48" s="14">
        <f t="shared" si="7"/>
        <v>0</v>
      </c>
      <c r="I48" s="14">
        <f t="shared" si="6"/>
        <v>0</v>
      </c>
      <c r="J48" s="14">
        <f>605.8192896*E48*F48</f>
        <v>1793.2250972160002</v>
      </c>
      <c r="K48" s="14">
        <f>130.429329408*E48*F48</f>
        <v>386.07081504768</v>
      </c>
      <c r="L48" s="14">
        <f>127.27296*E48*F48</f>
        <v>376.7279616</v>
      </c>
      <c r="M48" s="14">
        <f t="shared" si="5"/>
        <v>4439.66368186368</v>
      </c>
      <c r="N48" s="18">
        <f>IF(N4&gt;0,(M48/$N$4/12),0)</f>
        <v>0.03620432268212545</v>
      </c>
    </row>
    <row r="49" spans="2:14" ht="12">
      <c r="B49" s="9">
        <v>42</v>
      </c>
      <c r="C49" s="7" t="s">
        <v>86</v>
      </c>
      <c r="D49" s="7" t="s">
        <v>87</v>
      </c>
      <c r="E49" s="11">
        <v>1.85</v>
      </c>
      <c r="F49" s="11">
        <v>2</v>
      </c>
      <c r="G49" s="14">
        <f>445.45536*E49*F49</f>
        <v>1648.184832</v>
      </c>
      <c r="H49" s="14">
        <f t="shared" si="7"/>
        <v>0</v>
      </c>
      <c r="I49" s="14">
        <f t="shared" si="6"/>
        <v>0</v>
      </c>
      <c r="J49" s="14">
        <f>424.07350272*E49*F49</f>
        <v>1569.0719600640002</v>
      </c>
      <c r="K49" s="14">
        <f>91.3005305856*E49*F49</f>
        <v>337.81196316672003</v>
      </c>
      <c r="L49" s="14">
        <f>89.091072*E49*F49</f>
        <v>329.6369664</v>
      </c>
      <c r="M49" s="14">
        <f t="shared" si="5"/>
        <v>3884.7057216307203</v>
      </c>
      <c r="N49" s="18">
        <f>IF(N4&gt;0,(M49/$N$4/12),0)</f>
        <v>0.03167878234685977</v>
      </c>
    </row>
    <row r="50" spans="2:14" ht="24">
      <c r="B50" s="9">
        <v>43</v>
      </c>
      <c r="C50" s="7" t="s">
        <v>88</v>
      </c>
      <c r="D50" s="7" t="s">
        <v>89</v>
      </c>
      <c r="E50" s="11">
        <v>1.8</v>
      </c>
      <c r="F50" s="11">
        <v>1</v>
      </c>
      <c r="G50" s="14">
        <f>9545.472*E50*F50</f>
        <v>17181.8496</v>
      </c>
      <c r="H50" s="14">
        <f t="shared" si="7"/>
        <v>0</v>
      </c>
      <c r="I50" s="14">
        <f t="shared" si="6"/>
        <v>0</v>
      </c>
      <c r="J50" s="14">
        <f>9087.289344*E50*F50</f>
        <v>16357.120819200001</v>
      </c>
      <c r="K50" s="14">
        <f>1956.43994112*E50*F50</f>
        <v>3521.591894016</v>
      </c>
      <c r="L50" s="14">
        <f>1909.0944*E50*F50</f>
        <v>3436.36992</v>
      </c>
      <c r="M50" s="14">
        <f t="shared" si="5"/>
        <v>40496.932233216</v>
      </c>
      <c r="N50" s="18">
        <f>IF(N4&gt;0,(M50/$N$4/12),0)</f>
        <v>0.33024213257344165</v>
      </c>
    </row>
    <row r="51" spans="2:14" ht="12">
      <c r="B51" s="9">
        <v>44</v>
      </c>
      <c r="C51" s="7" t="s">
        <v>90</v>
      </c>
      <c r="D51" s="7" t="s">
        <v>91</v>
      </c>
      <c r="E51" s="11">
        <v>57.76</v>
      </c>
      <c r="F51" s="11">
        <v>1</v>
      </c>
      <c r="G51" s="14">
        <f>138.409344*E51*F51</f>
        <v>7994.52370944</v>
      </c>
      <c r="H51" s="14">
        <f t="shared" si="7"/>
        <v>0</v>
      </c>
      <c r="I51" s="14">
        <f t="shared" si="6"/>
        <v>0</v>
      </c>
      <c r="J51" s="14">
        <f>131.765695488*E51*F51</f>
        <v>7610.7865713868805</v>
      </c>
      <c r="K51" s="14">
        <f>28.36837914624*E51*F51</f>
        <v>1638.5575794868223</v>
      </c>
      <c r="L51" s="14">
        <f>27.6818688*E51*F51</f>
        <v>1598.904741888</v>
      </c>
      <c r="M51" s="14">
        <f t="shared" si="5"/>
        <v>18842.772602201705</v>
      </c>
      <c r="N51" s="18">
        <f>IF(N4&gt;0,(M51/$N$4/12),0)</f>
        <v>0.15365799492939383</v>
      </c>
    </row>
    <row r="52" spans="2:14" ht="36">
      <c r="B52" s="9">
        <v>45</v>
      </c>
      <c r="C52" s="7" t="s">
        <v>92</v>
      </c>
      <c r="D52" s="7" t="s">
        <v>93</v>
      </c>
      <c r="E52" s="11">
        <v>0.3</v>
      </c>
      <c r="F52" s="11">
        <v>1</v>
      </c>
      <c r="G52" s="14">
        <f>4996.1248*E52*F52</f>
        <v>1498.8374399999998</v>
      </c>
      <c r="H52" s="14">
        <f>1007.50398035*E52*F52</f>
        <v>302.25119410499997</v>
      </c>
      <c r="I52" s="14">
        <f t="shared" si="6"/>
        <v>0</v>
      </c>
      <c r="J52" s="14">
        <f>4756.3108096*E52*F52</f>
        <v>1426.89324288</v>
      </c>
      <c r="K52" s="14">
        <f>1129.7936569447*E52*F52</f>
        <v>338.93809708340996</v>
      </c>
      <c r="L52" s="14">
        <f>999.22496*E52*F52</f>
        <v>299.767488</v>
      </c>
      <c r="M52" s="14">
        <f t="shared" si="5"/>
        <v>3866.68746206841</v>
      </c>
      <c r="N52" s="18">
        <f>IF(N4&gt;0,(M52/$N$4/12),0)</f>
        <v>0.03153184804505015</v>
      </c>
    </row>
    <row r="53" spans="2:14" ht="24">
      <c r="B53" s="9">
        <v>46</v>
      </c>
      <c r="C53" s="7" t="s">
        <v>94</v>
      </c>
      <c r="D53" s="7" t="s">
        <v>79</v>
      </c>
      <c r="E53" s="11">
        <v>1</v>
      </c>
      <c r="F53" s="11">
        <v>1</v>
      </c>
      <c r="G53" s="14">
        <f>592.48896*E53*F53</f>
        <v>592.48896</v>
      </c>
      <c r="H53" s="14">
        <f aca="true" t="shared" si="8" ref="H53:H59">0*E53*F53</f>
        <v>0</v>
      </c>
      <c r="I53" s="14">
        <f t="shared" si="6"/>
        <v>0</v>
      </c>
      <c r="J53" s="14">
        <f>564.04948992*E53*F53</f>
        <v>564.04948992</v>
      </c>
      <c r="K53" s="14">
        <f>121.4365372416*E53*F53</f>
        <v>121.4365372416</v>
      </c>
      <c r="L53" s="14">
        <f>118.497792*E53*F53</f>
        <v>118.497792</v>
      </c>
      <c r="M53" s="14">
        <f t="shared" si="5"/>
        <v>1396.4727791616</v>
      </c>
      <c r="N53" s="18">
        <f>IF(N4&gt;0,(M53/$N$4/12),0)</f>
        <v>0.011387878617946962</v>
      </c>
    </row>
    <row r="54" spans="2:14" ht="24">
      <c r="B54" s="9">
        <v>47</v>
      </c>
      <c r="C54" s="7" t="s">
        <v>95</v>
      </c>
      <c r="D54" s="7" t="s">
        <v>79</v>
      </c>
      <c r="E54" s="11">
        <v>1</v>
      </c>
      <c r="F54" s="11">
        <v>1</v>
      </c>
      <c r="G54" s="14">
        <f>592.48896*E54*F54</f>
        <v>592.48896</v>
      </c>
      <c r="H54" s="14">
        <f t="shared" si="8"/>
        <v>0</v>
      </c>
      <c r="I54" s="14">
        <f t="shared" si="6"/>
        <v>0</v>
      </c>
      <c r="J54" s="14">
        <f>564.04948992*E54*F54</f>
        <v>564.04948992</v>
      </c>
      <c r="K54" s="14">
        <f>121.4365372416*E54*F54</f>
        <v>121.4365372416</v>
      </c>
      <c r="L54" s="14">
        <f>118.497792*E54*F54</f>
        <v>118.497792</v>
      </c>
      <c r="M54" s="14">
        <f t="shared" si="5"/>
        <v>1396.4727791616</v>
      </c>
      <c r="N54" s="18">
        <f>IF(N4&gt;0,(M54/$N$4/12),0)</f>
        <v>0.011387878617946962</v>
      </c>
    </row>
    <row r="55" spans="2:14" ht="24">
      <c r="B55" s="9">
        <v>48</v>
      </c>
      <c r="C55" s="7" t="s">
        <v>96</v>
      </c>
      <c r="D55" s="7" t="s">
        <v>79</v>
      </c>
      <c r="E55" s="11">
        <v>1</v>
      </c>
      <c r="F55" s="11">
        <v>2</v>
      </c>
      <c r="G55" s="14">
        <f>592.48896*E55*F55</f>
        <v>1184.97792</v>
      </c>
      <c r="H55" s="14">
        <f t="shared" si="8"/>
        <v>0</v>
      </c>
      <c r="I55" s="14">
        <f t="shared" si="6"/>
        <v>0</v>
      </c>
      <c r="J55" s="14">
        <f>564.04948992*E55*F55</f>
        <v>1128.09897984</v>
      </c>
      <c r="K55" s="14">
        <f>121.4365372416*E55*F55</f>
        <v>242.8730744832</v>
      </c>
      <c r="L55" s="14">
        <f>118.497792*E55*F55</f>
        <v>236.995584</v>
      </c>
      <c r="M55" s="14">
        <f t="shared" si="5"/>
        <v>2792.9455583232</v>
      </c>
      <c r="N55" s="18">
        <f>IF(N4&gt;0,(M55/$N$4/12),0)</f>
        <v>0.022775757235893923</v>
      </c>
    </row>
    <row r="56" spans="2:14" ht="24">
      <c r="B56" s="9">
        <v>49</v>
      </c>
      <c r="C56" s="7" t="s">
        <v>97</v>
      </c>
      <c r="D56" s="7" t="s">
        <v>98</v>
      </c>
      <c r="E56" s="11">
        <v>0.4</v>
      </c>
      <c r="F56" s="11">
        <v>2</v>
      </c>
      <c r="G56" s="14">
        <f>1431.8208*E56*F56</f>
        <v>1145.45664</v>
      </c>
      <c r="H56" s="14">
        <f t="shared" si="8"/>
        <v>0</v>
      </c>
      <c r="I56" s="14">
        <f t="shared" si="6"/>
        <v>0</v>
      </c>
      <c r="J56" s="14">
        <f>1363.0934016*E56*F56</f>
        <v>1090.47472128</v>
      </c>
      <c r="K56" s="14">
        <f>293.465991168*E56*F56</f>
        <v>234.77279293440003</v>
      </c>
      <c r="L56" s="14">
        <f>286.36416*E56*F56</f>
        <v>229.09132800000003</v>
      </c>
      <c r="M56" s="14">
        <f t="shared" si="5"/>
        <v>2699.7954822144</v>
      </c>
      <c r="N56" s="18">
        <f>IF(N4&gt;0,(M56/$N$4/12),0)</f>
        <v>0.022016142171562777</v>
      </c>
    </row>
    <row r="57" spans="2:14" ht="12">
      <c r="B57" s="9">
        <v>50</v>
      </c>
      <c r="C57" s="7" t="s">
        <v>99</v>
      </c>
      <c r="D57" s="7" t="s">
        <v>100</v>
      </c>
      <c r="E57" s="11">
        <v>0.4</v>
      </c>
      <c r="F57" s="11">
        <v>1</v>
      </c>
      <c r="G57" s="14">
        <f>282.1376*E57*F57</f>
        <v>112.85504000000002</v>
      </c>
      <c r="H57" s="14">
        <f t="shared" si="8"/>
        <v>0</v>
      </c>
      <c r="I57" s="14">
        <f t="shared" si="6"/>
        <v>0</v>
      </c>
      <c r="J57" s="14">
        <f>268.5949952*E57*F57</f>
        <v>107.43799808000001</v>
      </c>
      <c r="K57" s="14">
        <f>57.826922496*E57*F57</f>
        <v>23.1307689984</v>
      </c>
      <c r="L57" s="14">
        <f>56.42752*E57*F57</f>
        <v>22.571008000000003</v>
      </c>
      <c r="M57" s="14">
        <f t="shared" si="5"/>
        <v>265.99481507840005</v>
      </c>
      <c r="N57" s="18">
        <f>IF(N4&gt;0,(M57/$N$4/12),0)</f>
        <v>0.0021691197367518025</v>
      </c>
    </row>
    <row r="58" spans="2:14" ht="12">
      <c r="B58" s="9">
        <v>51</v>
      </c>
      <c r="C58" s="7" t="s">
        <v>101</v>
      </c>
      <c r="D58" s="7" t="s">
        <v>102</v>
      </c>
      <c r="E58" s="11">
        <v>10</v>
      </c>
      <c r="F58" s="11">
        <v>1</v>
      </c>
      <c r="G58" s="14">
        <f>40.303103469696*E58*F58</f>
        <v>403.03103469696</v>
      </c>
      <c r="H58" s="14">
        <f t="shared" si="8"/>
        <v>0</v>
      </c>
      <c r="I58" s="14">
        <f t="shared" si="6"/>
        <v>0</v>
      </c>
      <c r="J58" s="14">
        <f>38.368554503151*E58*F58</f>
        <v>383.68554503151006</v>
      </c>
      <c r="K58" s="14">
        <f>8.2605240871489*E58*F58</f>
        <v>82.605240871489</v>
      </c>
      <c r="L58" s="14">
        <f>8.0606206939392*E58*F58</f>
        <v>80.606206939392</v>
      </c>
      <c r="M58" s="14">
        <f t="shared" si="5"/>
        <v>949.928027539351</v>
      </c>
      <c r="N58" s="18">
        <f>IF(N4&gt;0,(M58/$N$4/12),0)</f>
        <v>0.007746420291771462</v>
      </c>
    </row>
    <row r="59" spans="2:14" ht="24">
      <c r="B59" s="9">
        <v>52</v>
      </c>
      <c r="C59" s="7" t="s">
        <v>103</v>
      </c>
      <c r="D59" s="7" t="s">
        <v>104</v>
      </c>
      <c r="E59" s="11">
        <v>21.6</v>
      </c>
      <c r="F59" s="11">
        <v>2</v>
      </c>
      <c r="G59" s="14">
        <f>591.95136*E59*F59</f>
        <v>25572.298752000002</v>
      </c>
      <c r="H59" s="14">
        <f t="shared" si="8"/>
        <v>0</v>
      </c>
      <c r="I59" s="14">
        <f>63.62265*E59*F59</f>
        <v>2748.49848</v>
      </c>
      <c r="J59" s="14">
        <f>563.53769472*E59*F59</f>
        <v>24344.828411904</v>
      </c>
      <c r="K59" s="14">
        <f>128.0067289956*E59*F59</f>
        <v>5529.890692609921</v>
      </c>
      <c r="L59" s="14">
        <f>118.390272*E59*F59</f>
        <v>5114.4597504</v>
      </c>
      <c r="M59" s="14">
        <f t="shared" si="5"/>
        <v>63309.97608691392</v>
      </c>
      <c r="N59" s="18">
        <f>IF(N4&gt;0,(M59/$N$4/12),0)</f>
        <v>0.5162766748777924</v>
      </c>
    </row>
    <row r="60" spans="2:14" ht="24">
      <c r="B60" s="9">
        <v>53</v>
      </c>
      <c r="C60" s="7" t="s">
        <v>105</v>
      </c>
      <c r="D60" s="7" t="s">
        <v>104</v>
      </c>
      <c r="E60" s="11">
        <v>21.6</v>
      </c>
      <c r="F60" s="11">
        <v>2</v>
      </c>
      <c r="G60" s="14">
        <f>554.281728*E60*F60</f>
        <v>23944.970649600004</v>
      </c>
      <c r="H60" s="14">
        <f>6.69293704664*E60*F60</f>
        <v>289.134880414848</v>
      </c>
      <c r="I60" s="14">
        <f>0*E60*F60</f>
        <v>0</v>
      </c>
      <c r="J60" s="14">
        <f>527.676205056*E60*F60</f>
        <v>22795.6120584192</v>
      </c>
      <c r="K60" s="14">
        <f>114.30834136078*E60*F60</f>
        <v>4938.120346785697</v>
      </c>
      <c r="L60" s="14">
        <f>110.8563456*E60*F60</f>
        <v>4788.99412992</v>
      </c>
      <c r="M60" s="14">
        <f t="shared" si="5"/>
        <v>56756.83206513975</v>
      </c>
      <c r="N60" s="18">
        <f>IF(N4&gt;0,(M60/$N$4/12),0)</f>
        <v>0.46283746016521304</v>
      </c>
    </row>
    <row r="61" spans="2:14" ht="24">
      <c r="B61" s="9">
        <v>54</v>
      </c>
      <c r="C61" s="7" t="s">
        <v>106</v>
      </c>
      <c r="D61" s="7" t="s">
        <v>104</v>
      </c>
      <c r="E61" s="11">
        <v>21.6</v>
      </c>
      <c r="F61" s="11">
        <v>2</v>
      </c>
      <c r="G61" s="14">
        <f>231.399168*E61*F61</f>
        <v>9996.444057600002</v>
      </c>
      <c r="H61" s="14">
        <f>0*E61*F61</f>
        <v>0</v>
      </c>
      <c r="I61" s="14">
        <f>63.62265*E61*F61</f>
        <v>2748.49848</v>
      </c>
      <c r="J61" s="14">
        <f>220.292007936*E61*F61</f>
        <v>9516.614742835201</v>
      </c>
      <c r="K61" s="14">
        <f>54.10795172328*E61*F61</f>
        <v>2337.463514445696</v>
      </c>
      <c r="L61" s="14">
        <f>46.2798336*E61*F61</f>
        <v>1999.2888115200003</v>
      </c>
      <c r="M61" s="14">
        <f t="shared" si="5"/>
        <v>26598.3096064009</v>
      </c>
      <c r="N61" s="18">
        <f>IF(N4&gt;0,(M61/$N$4/12),0)</f>
        <v>0.21690241711844685</v>
      </c>
    </row>
    <row r="62" spans="2:14" ht="24">
      <c r="B62" s="9">
        <v>55</v>
      </c>
      <c r="C62" s="7" t="s">
        <v>107</v>
      </c>
      <c r="D62" s="7" t="s">
        <v>104</v>
      </c>
      <c r="E62" s="11">
        <v>0.1</v>
      </c>
      <c r="F62" s="11">
        <v>1</v>
      </c>
      <c r="G62" s="14">
        <f>4456.0032*E62*F62</f>
        <v>445.60032</v>
      </c>
      <c r="H62" s="14">
        <f>10484.755321644*E62*F62</f>
        <v>1048.4755321644</v>
      </c>
      <c r="I62" s="14">
        <f aca="true" t="shared" si="9" ref="I62:I83">0*E62*F62</f>
        <v>0</v>
      </c>
      <c r="J62" s="14">
        <f>4242.1150464*E62*F62</f>
        <v>424.21150464000004</v>
      </c>
      <c r="K62" s="14">
        <f>2014.2017246446*E62*F62</f>
        <v>201.42017246446002</v>
      </c>
      <c r="L62" s="14">
        <f>891.20064*E62*F62</f>
        <v>89.12006400000001</v>
      </c>
      <c r="M62" s="14">
        <f aca="true" t="shared" si="10" ref="M62:M93">SUM(G62:L62)</f>
        <v>2208.8275932688603</v>
      </c>
      <c r="N62" s="18">
        <f>IF(N4&gt;0,(M62/$N$4/12),0)</f>
        <v>0.018012424513723296</v>
      </c>
    </row>
    <row r="63" spans="2:14" ht="36">
      <c r="B63" s="9">
        <v>56</v>
      </c>
      <c r="C63" s="7" t="s">
        <v>108</v>
      </c>
      <c r="D63" s="7" t="s">
        <v>109</v>
      </c>
      <c r="E63" s="11">
        <v>2</v>
      </c>
      <c r="F63" s="11">
        <v>12</v>
      </c>
      <c r="G63" s="14">
        <f>15.90912*E63*F63</f>
        <v>381.81888</v>
      </c>
      <c r="H63" s="14">
        <f aca="true" t="shared" si="11" ref="H63:H83">0*E63*F63</f>
        <v>0</v>
      </c>
      <c r="I63" s="14">
        <f t="shared" si="9"/>
        <v>0</v>
      </c>
      <c r="J63" s="14">
        <f>15.14548224*E63*F63</f>
        <v>363.49157376</v>
      </c>
      <c r="K63" s="14">
        <f>3.2607332352*E63*F63</f>
        <v>78.2575976448</v>
      </c>
      <c r="L63" s="14">
        <f>3.181824*E63*F63</f>
        <v>76.363776</v>
      </c>
      <c r="M63" s="14">
        <f t="shared" si="10"/>
        <v>899.9318274048</v>
      </c>
      <c r="N63" s="18">
        <f>IF(N4&gt;0,(M63/$N$4/12),0)</f>
        <v>0.007338714057187591</v>
      </c>
    </row>
    <row r="64" spans="2:14" ht="24">
      <c r="B64" s="9">
        <v>57</v>
      </c>
      <c r="C64" s="7" t="s">
        <v>110</v>
      </c>
      <c r="D64" s="7" t="s">
        <v>109</v>
      </c>
      <c r="E64" s="11">
        <v>2</v>
      </c>
      <c r="F64" s="11">
        <v>12</v>
      </c>
      <c r="G64" s="14">
        <f>14.10688*E64*F64</f>
        <v>338.56512</v>
      </c>
      <c r="H64" s="14">
        <f t="shared" si="11"/>
        <v>0</v>
      </c>
      <c r="I64" s="14">
        <f t="shared" si="9"/>
        <v>0</v>
      </c>
      <c r="J64" s="14">
        <f>13.42974976*E64*F64</f>
        <v>322.31399424</v>
      </c>
      <c r="K64" s="14">
        <f>2.8913461248*E64*F64</f>
        <v>69.3923069952</v>
      </c>
      <c r="L64" s="14">
        <f>2.821376*E64*F64</f>
        <v>67.71302399999999</v>
      </c>
      <c r="M64" s="14">
        <f t="shared" si="10"/>
        <v>797.9844452352</v>
      </c>
      <c r="N64" s="18">
        <f>IF(N4&gt;0,(M64/$N$4/12),0)</f>
        <v>0.006507359210255407</v>
      </c>
    </row>
    <row r="65" spans="2:14" ht="36">
      <c r="B65" s="9">
        <v>58</v>
      </c>
      <c r="C65" s="7" t="s">
        <v>111</v>
      </c>
      <c r="D65" s="7" t="s">
        <v>109</v>
      </c>
      <c r="E65" s="11">
        <v>2</v>
      </c>
      <c r="F65" s="11">
        <v>12</v>
      </c>
      <c r="G65" s="14">
        <f>42.32064*E65*F65</f>
        <v>1015.6953599999999</v>
      </c>
      <c r="H65" s="14">
        <f t="shared" si="11"/>
        <v>0</v>
      </c>
      <c r="I65" s="14">
        <f t="shared" si="9"/>
        <v>0</v>
      </c>
      <c r="J65" s="14">
        <f>40.28924928*E65*F65</f>
        <v>966.9419827199999</v>
      </c>
      <c r="K65" s="14">
        <f>8.6740383744*E65*F65</f>
        <v>208.17692098560002</v>
      </c>
      <c r="L65" s="14">
        <f>8.464128*E65*F65</f>
        <v>203.139072</v>
      </c>
      <c r="M65" s="14">
        <f t="shared" si="10"/>
        <v>2393.9533357056</v>
      </c>
      <c r="N65" s="18">
        <f>IF(N4&gt;0,(M65/$N$4/12),0)</f>
        <v>0.01952207763076622</v>
      </c>
    </row>
    <row r="66" spans="2:14" ht="36">
      <c r="B66" s="9">
        <v>59</v>
      </c>
      <c r="C66" s="7" t="s">
        <v>112</v>
      </c>
      <c r="D66" s="7" t="s">
        <v>113</v>
      </c>
      <c r="E66" s="11">
        <v>2</v>
      </c>
      <c r="F66" s="11">
        <v>12</v>
      </c>
      <c r="G66" s="14">
        <f>84.318336*E66*F66</f>
        <v>2023.6400640000002</v>
      </c>
      <c r="H66" s="14">
        <f t="shared" si="11"/>
        <v>0</v>
      </c>
      <c r="I66" s="14">
        <f t="shared" si="9"/>
        <v>0</v>
      </c>
      <c r="J66" s="14">
        <f>80.271055872*E66*F66</f>
        <v>1926.5053409280001</v>
      </c>
      <c r="K66" s="14">
        <f>17.28188614656*E66*F66</f>
        <v>414.76526751744007</v>
      </c>
      <c r="L66" s="14">
        <f>16.8636672*E66*F66</f>
        <v>404.7280128</v>
      </c>
      <c r="M66" s="14">
        <f t="shared" si="10"/>
        <v>4769.638685245441</v>
      </c>
      <c r="N66" s="18">
        <f>IF(N4&gt;0,(M66/$N$4/12),0)</f>
        <v>0.03889518450309424</v>
      </c>
    </row>
    <row r="67" spans="2:14" ht="24">
      <c r="B67" s="9">
        <v>60</v>
      </c>
      <c r="C67" s="7" t="s">
        <v>114</v>
      </c>
      <c r="D67" s="7" t="s">
        <v>113</v>
      </c>
      <c r="E67" s="11">
        <v>2</v>
      </c>
      <c r="F67" s="11">
        <v>12</v>
      </c>
      <c r="G67" s="14">
        <f>159.0912*E67*F67</f>
        <v>3818.1888</v>
      </c>
      <c r="H67" s="14">
        <f t="shared" si="11"/>
        <v>0</v>
      </c>
      <c r="I67" s="14">
        <f t="shared" si="9"/>
        <v>0</v>
      </c>
      <c r="J67" s="14">
        <f>151.4548224*E67*F67</f>
        <v>3634.9157376000003</v>
      </c>
      <c r="K67" s="14">
        <f>32.607332352*E67*F67</f>
        <v>782.575976448</v>
      </c>
      <c r="L67" s="14">
        <f>31.81824*E67*F67</f>
        <v>763.63776</v>
      </c>
      <c r="M67" s="14">
        <f t="shared" si="10"/>
        <v>8999.318274048</v>
      </c>
      <c r="N67" s="18">
        <f>IF(N4&gt;0,(M67/$N$4/12),0)</f>
        <v>0.07338714057187593</v>
      </c>
    </row>
    <row r="68" spans="2:14" ht="24">
      <c r="B68" s="9">
        <v>61</v>
      </c>
      <c r="C68" s="7" t="s">
        <v>115</v>
      </c>
      <c r="D68" s="7" t="s">
        <v>109</v>
      </c>
      <c r="E68" s="11">
        <v>2</v>
      </c>
      <c r="F68" s="11">
        <v>12</v>
      </c>
      <c r="G68" s="14">
        <f>31.81824*E68*F68</f>
        <v>763.63776</v>
      </c>
      <c r="H68" s="14">
        <f t="shared" si="11"/>
        <v>0</v>
      </c>
      <c r="I68" s="14">
        <f t="shared" si="9"/>
        <v>0</v>
      </c>
      <c r="J68" s="14">
        <f>30.29096448*E68*F68</f>
        <v>726.98314752</v>
      </c>
      <c r="K68" s="14">
        <f>6.5214664704*E68*F68</f>
        <v>156.5151952896</v>
      </c>
      <c r="L68" s="14">
        <f>6.363648*E68*F68</f>
        <v>152.727552</v>
      </c>
      <c r="M68" s="14">
        <f t="shared" si="10"/>
        <v>1799.8636548096</v>
      </c>
      <c r="N68" s="18">
        <f>IF(N4&gt;0,(M68/$N$4/12),0)</f>
        <v>0.014677428114375182</v>
      </c>
    </row>
    <row r="69" spans="2:14" ht="24">
      <c r="B69" s="9">
        <v>62</v>
      </c>
      <c r="C69" s="7" t="s">
        <v>116</v>
      </c>
      <c r="D69" s="7" t="s">
        <v>109</v>
      </c>
      <c r="E69" s="11">
        <v>2</v>
      </c>
      <c r="F69" s="11">
        <v>12</v>
      </c>
      <c r="G69" s="14">
        <f>114.545664*E69*F69</f>
        <v>2749.095936</v>
      </c>
      <c r="H69" s="14">
        <f t="shared" si="11"/>
        <v>0</v>
      </c>
      <c r="I69" s="14">
        <f t="shared" si="9"/>
        <v>0</v>
      </c>
      <c r="J69" s="14">
        <f>109.047472128*E69*F69</f>
        <v>2617.139331072</v>
      </c>
      <c r="K69" s="14">
        <f>23.47727929344*E69*F69</f>
        <v>563.4547030425599</v>
      </c>
      <c r="L69" s="14">
        <f>22.9091328*E69*F69</f>
        <v>549.8191872</v>
      </c>
      <c r="M69" s="14">
        <f t="shared" si="10"/>
        <v>6479.50915731456</v>
      </c>
      <c r="N69" s="18">
        <f>IF(N4&gt;0,(M69/$N$4/12),0)</f>
        <v>0.05283874121175066</v>
      </c>
    </row>
    <row r="70" spans="2:14" ht="24">
      <c r="B70" s="9">
        <v>63</v>
      </c>
      <c r="C70" s="7" t="s">
        <v>117</v>
      </c>
      <c r="D70" s="7" t="s">
        <v>109</v>
      </c>
      <c r="E70" s="11">
        <v>2</v>
      </c>
      <c r="F70" s="11">
        <v>12</v>
      </c>
      <c r="G70" s="14">
        <f>15.90912*E70*F70</f>
        <v>381.81888</v>
      </c>
      <c r="H70" s="14">
        <f t="shared" si="11"/>
        <v>0</v>
      </c>
      <c r="I70" s="14">
        <f t="shared" si="9"/>
        <v>0</v>
      </c>
      <c r="J70" s="14">
        <f>15.14548224*E70*F70</f>
        <v>363.49157376</v>
      </c>
      <c r="K70" s="14">
        <f>3.2607332352*E70*F70</f>
        <v>78.2575976448</v>
      </c>
      <c r="L70" s="14">
        <f>3.181824*E70*F70</f>
        <v>76.363776</v>
      </c>
      <c r="M70" s="14">
        <f t="shared" si="10"/>
        <v>899.9318274048</v>
      </c>
      <c r="N70" s="18">
        <f>IF(N4&gt;0,(M70/$N$4/12),0)</f>
        <v>0.007338714057187591</v>
      </c>
    </row>
    <row r="71" spans="2:14" ht="24">
      <c r="B71" s="9">
        <v>64</v>
      </c>
      <c r="C71" s="7" t="s">
        <v>118</v>
      </c>
      <c r="D71" s="7" t="s">
        <v>119</v>
      </c>
      <c r="E71" s="11">
        <v>1</v>
      </c>
      <c r="F71" s="11">
        <v>12</v>
      </c>
      <c r="G71" s="14">
        <f>15.90912*E71*F71</f>
        <v>190.90944</v>
      </c>
      <c r="H71" s="14">
        <f t="shared" si="11"/>
        <v>0</v>
      </c>
      <c r="I71" s="14">
        <f t="shared" si="9"/>
        <v>0</v>
      </c>
      <c r="J71" s="14">
        <f>15.14548224*E71*F71</f>
        <v>181.74578688</v>
      </c>
      <c r="K71" s="14">
        <f>3.2607332352*E71*F71</f>
        <v>39.1287988224</v>
      </c>
      <c r="L71" s="14">
        <f>3.181824*E71*F71</f>
        <v>38.181888</v>
      </c>
      <c r="M71" s="14">
        <f t="shared" si="10"/>
        <v>449.9659137024</v>
      </c>
      <c r="N71" s="18">
        <f>IF(N4&gt;0,(M71/$N$4/12),0)</f>
        <v>0.0036693570285937956</v>
      </c>
    </row>
    <row r="72" spans="2:14" ht="24">
      <c r="B72" s="9">
        <v>65</v>
      </c>
      <c r="C72" s="7" t="s">
        <v>120</v>
      </c>
      <c r="D72" s="7" t="s">
        <v>119</v>
      </c>
      <c r="E72" s="11">
        <v>1</v>
      </c>
      <c r="F72" s="11">
        <v>12</v>
      </c>
      <c r="G72" s="14">
        <f>14.10688*E72*F72</f>
        <v>169.28256</v>
      </c>
      <c r="H72" s="14">
        <f t="shared" si="11"/>
        <v>0</v>
      </c>
      <c r="I72" s="14">
        <f t="shared" si="9"/>
        <v>0</v>
      </c>
      <c r="J72" s="14">
        <f>13.42974976*E72*F72</f>
        <v>161.15699712</v>
      </c>
      <c r="K72" s="14">
        <f>2.8913461248*E72*F72</f>
        <v>34.6961534976</v>
      </c>
      <c r="L72" s="14">
        <f>2.821376*E72*F72</f>
        <v>33.856511999999995</v>
      </c>
      <c r="M72" s="14">
        <f t="shared" si="10"/>
        <v>398.9922226176</v>
      </c>
      <c r="N72" s="18">
        <f>IF(N4&gt;0,(M72/$N$4/12),0)</f>
        <v>0.0032536796051277034</v>
      </c>
    </row>
    <row r="73" spans="2:14" ht="36">
      <c r="B73" s="9">
        <v>66</v>
      </c>
      <c r="C73" s="7" t="s">
        <v>121</v>
      </c>
      <c r="D73" s="7" t="s">
        <v>119</v>
      </c>
      <c r="E73" s="11">
        <v>1</v>
      </c>
      <c r="F73" s="11">
        <v>12</v>
      </c>
      <c r="G73" s="14">
        <f>42.32064*E73*F73</f>
        <v>507.84767999999997</v>
      </c>
      <c r="H73" s="14">
        <f t="shared" si="11"/>
        <v>0</v>
      </c>
      <c r="I73" s="14">
        <f t="shared" si="9"/>
        <v>0</v>
      </c>
      <c r="J73" s="14">
        <f>40.28924928*E73*F73</f>
        <v>483.47099135999997</v>
      </c>
      <c r="K73" s="14">
        <f>8.6740383744*E73*F73</f>
        <v>104.08846049280001</v>
      </c>
      <c r="L73" s="14">
        <f>8.464128*E73*F73</f>
        <v>101.569536</v>
      </c>
      <c r="M73" s="14">
        <f t="shared" si="10"/>
        <v>1196.9766678528</v>
      </c>
      <c r="N73" s="18">
        <f>IF(N4&gt;0,(M73/$N$4/12),0)</f>
        <v>0.00976103881538311</v>
      </c>
    </row>
    <row r="74" spans="2:14" ht="36">
      <c r="B74" s="9">
        <v>67</v>
      </c>
      <c r="C74" s="7" t="s">
        <v>122</v>
      </c>
      <c r="D74" s="7" t="s">
        <v>113</v>
      </c>
      <c r="E74" s="11">
        <v>1</v>
      </c>
      <c r="F74" s="11">
        <v>12</v>
      </c>
      <c r="G74" s="14">
        <f>84.318336*E74*F74</f>
        <v>1011.8200320000001</v>
      </c>
      <c r="H74" s="14">
        <f t="shared" si="11"/>
        <v>0</v>
      </c>
      <c r="I74" s="14">
        <f t="shared" si="9"/>
        <v>0</v>
      </c>
      <c r="J74" s="14">
        <f>80.271055872*E74*F74</f>
        <v>963.2526704640001</v>
      </c>
      <c r="K74" s="14">
        <f>17.28188614656*E74*F74</f>
        <v>207.38263375872003</v>
      </c>
      <c r="L74" s="14">
        <f>16.8636672*E74*F74</f>
        <v>202.3640064</v>
      </c>
      <c r="M74" s="14">
        <f t="shared" si="10"/>
        <v>2384.8193426227203</v>
      </c>
      <c r="N74" s="18">
        <f>IF(N4&gt;0,(M74/$N$4/12),0)</f>
        <v>0.01944759225154712</v>
      </c>
    </row>
    <row r="75" spans="2:14" ht="24">
      <c r="B75" s="9">
        <v>68</v>
      </c>
      <c r="C75" s="7" t="s">
        <v>123</v>
      </c>
      <c r="D75" s="7" t="s">
        <v>113</v>
      </c>
      <c r="E75" s="11">
        <v>1</v>
      </c>
      <c r="F75" s="11">
        <v>12</v>
      </c>
      <c r="G75" s="14">
        <f>159.0912*E75*F75</f>
        <v>1909.0944</v>
      </c>
      <c r="H75" s="14">
        <f t="shared" si="11"/>
        <v>0</v>
      </c>
      <c r="I75" s="14">
        <f t="shared" si="9"/>
        <v>0</v>
      </c>
      <c r="J75" s="14">
        <f>151.4548224*E75*F75</f>
        <v>1817.4578688000001</v>
      </c>
      <c r="K75" s="14">
        <f>32.607332352*E75*F75</f>
        <v>391.287988224</v>
      </c>
      <c r="L75" s="14">
        <f>31.81824*E75*F75</f>
        <v>381.81888</v>
      </c>
      <c r="M75" s="14">
        <f t="shared" si="10"/>
        <v>4499.659137024</v>
      </c>
      <c r="N75" s="18">
        <f>IF(N4&gt;0,(M75/$N$4/12),0)</f>
        <v>0.03669357028593796</v>
      </c>
    </row>
    <row r="76" spans="2:14" ht="24">
      <c r="B76" s="9">
        <v>69</v>
      </c>
      <c r="C76" s="7" t="s">
        <v>124</v>
      </c>
      <c r="D76" s="7" t="s">
        <v>119</v>
      </c>
      <c r="E76" s="11">
        <v>1</v>
      </c>
      <c r="F76" s="11">
        <v>12</v>
      </c>
      <c r="G76" s="14">
        <f>31.81824*E76*F76</f>
        <v>381.81888</v>
      </c>
      <c r="H76" s="14">
        <f t="shared" si="11"/>
        <v>0</v>
      </c>
      <c r="I76" s="14">
        <f t="shared" si="9"/>
        <v>0</v>
      </c>
      <c r="J76" s="14">
        <f>30.29096448*E76*F76</f>
        <v>363.49157376</v>
      </c>
      <c r="K76" s="14">
        <f>6.5214664704*E76*F76</f>
        <v>78.2575976448</v>
      </c>
      <c r="L76" s="14">
        <f>6.363648*E76*F76</f>
        <v>76.363776</v>
      </c>
      <c r="M76" s="14">
        <f t="shared" si="10"/>
        <v>899.9318274048</v>
      </c>
      <c r="N76" s="18">
        <f>IF(N4&gt;0,(M76/$N$4/12),0)</f>
        <v>0.007338714057187591</v>
      </c>
    </row>
    <row r="77" spans="2:14" ht="36">
      <c r="B77" s="9">
        <v>70</v>
      </c>
      <c r="C77" s="7" t="s">
        <v>125</v>
      </c>
      <c r="D77" s="7" t="s">
        <v>119</v>
      </c>
      <c r="E77" s="11">
        <v>1</v>
      </c>
      <c r="F77" s="11">
        <v>12</v>
      </c>
      <c r="G77" s="14">
        <f>114.545664*E77*F77</f>
        <v>1374.547968</v>
      </c>
      <c r="H77" s="14">
        <f t="shared" si="11"/>
        <v>0</v>
      </c>
      <c r="I77" s="14">
        <f t="shared" si="9"/>
        <v>0</v>
      </c>
      <c r="J77" s="14">
        <f>109.047472128*E77*F77</f>
        <v>1308.569665536</v>
      </c>
      <c r="K77" s="14">
        <f>23.47727929344*E77*F77</f>
        <v>281.72735152127996</v>
      </c>
      <c r="L77" s="14">
        <f>22.9091328*E77*F77</f>
        <v>274.9095936</v>
      </c>
      <c r="M77" s="14">
        <f t="shared" si="10"/>
        <v>3239.75457865728</v>
      </c>
      <c r="N77" s="18">
        <f>IF(N4&gt;0,(M77/$N$4/12),0)</f>
        <v>0.02641937060587533</v>
      </c>
    </row>
    <row r="78" spans="2:14" ht="36">
      <c r="B78" s="9">
        <v>71</v>
      </c>
      <c r="C78" s="7" t="s">
        <v>126</v>
      </c>
      <c r="D78" s="7" t="s">
        <v>119</v>
      </c>
      <c r="E78" s="11">
        <v>1</v>
      </c>
      <c r="F78" s="11">
        <v>4</v>
      </c>
      <c r="G78" s="14">
        <f>15.90912*E78*F78</f>
        <v>63.63648</v>
      </c>
      <c r="H78" s="14">
        <f t="shared" si="11"/>
        <v>0</v>
      </c>
      <c r="I78" s="14">
        <f t="shared" si="9"/>
        <v>0</v>
      </c>
      <c r="J78" s="14">
        <f>15.14548224*E78*F78</f>
        <v>60.58192896</v>
      </c>
      <c r="K78" s="14">
        <f>3.2607332352*E78*F78</f>
        <v>13.0429329408</v>
      </c>
      <c r="L78" s="14">
        <f>3.181824*E78*F78</f>
        <v>12.727296</v>
      </c>
      <c r="M78" s="14">
        <f t="shared" si="10"/>
        <v>149.9886379008</v>
      </c>
      <c r="N78" s="18">
        <f>IF(N4&gt;0,(M78/$N$4/12),0)</f>
        <v>0.0012231190095312653</v>
      </c>
    </row>
    <row r="79" spans="2:14" ht="24">
      <c r="B79" s="9">
        <v>72</v>
      </c>
      <c r="C79" s="7" t="s">
        <v>127</v>
      </c>
      <c r="D79" s="7" t="s">
        <v>119</v>
      </c>
      <c r="E79" s="11">
        <v>1</v>
      </c>
      <c r="F79" s="11">
        <v>4</v>
      </c>
      <c r="G79" s="14">
        <f>159.0912*E79*F79</f>
        <v>636.3648</v>
      </c>
      <c r="H79" s="14">
        <f t="shared" si="11"/>
        <v>0</v>
      </c>
      <c r="I79" s="14">
        <f t="shared" si="9"/>
        <v>0</v>
      </c>
      <c r="J79" s="14">
        <f>151.4548224*E79*F79</f>
        <v>605.8192896</v>
      </c>
      <c r="K79" s="14">
        <f>32.607332352*E79*F79</f>
        <v>130.429329408</v>
      </c>
      <c r="L79" s="14">
        <f>31.81824*E79*F79</f>
        <v>127.27296</v>
      </c>
      <c r="M79" s="14">
        <f t="shared" si="10"/>
        <v>1499.886379008</v>
      </c>
      <c r="N79" s="18">
        <f>IF(N4&gt;0,(M79/$N$4/12),0)</f>
        <v>0.012231190095312651</v>
      </c>
    </row>
    <row r="80" spans="2:14" ht="36">
      <c r="B80" s="9">
        <v>73</v>
      </c>
      <c r="C80" s="7" t="s">
        <v>128</v>
      </c>
      <c r="D80" s="7" t="s">
        <v>119</v>
      </c>
      <c r="E80" s="11">
        <v>1</v>
      </c>
      <c r="F80" s="11">
        <v>4</v>
      </c>
      <c r="G80" s="14">
        <f>192.57504*E80*F80</f>
        <v>770.30016</v>
      </c>
      <c r="H80" s="14">
        <f t="shared" si="11"/>
        <v>0</v>
      </c>
      <c r="I80" s="14">
        <f t="shared" si="9"/>
        <v>0</v>
      </c>
      <c r="J80" s="14">
        <f>183.33143808*E80*F80</f>
        <v>733.32575232</v>
      </c>
      <c r="K80" s="14">
        <f>39.4701801984*E80*F80</f>
        <v>157.8807207936</v>
      </c>
      <c r="L80" s="14">
        <f>38.515008*E80*F80</f>
        <v>154.060032</v>
      </c>
      <c r="M80" s="14">
        <f t="shared" si="10"/>
        <v>1815.5666651136</v>
      </c>
      <c r="N80" s="18">
        <f>IF(N4&gt;0,(M80/$N$4/12),0)</f>
        <v>0.014805482150190822</v>
      </c>
    </row>
    <row r="81" spans="2:14" ht="48">
      <c r="B81" s="9">
        <v>74</v>
      </c>
      <c r="C81" s="7" t="s">
        <v>129</v>
      </c>
      <c r="D81" s="7" t="s">
        <v>119</v>
      </c>
      <c r="E81" s="11">
        <v>1</v>
      </c>
      <c r="F81" s="11">
        <v>4</v>
      </c>
      <c r="G81" s="14">
        <f>25.61664*E81*F81</f>
        <v>102.46656</v>
      </c>
      <c r="H81" s="14">
        <f t="shared" si="11"/>
        <v>0</v>
      </c>
      <c r="I81" s="14">
        <f t="shared" si="9"/>
        <v>0</v>
      </c>
      <c r="J81" s="14">
        <f>24.38704128*E81*F81</f>
        <v>97.54816512</v>
      </c>
      <c r="K81" s="14">
        <f>5.2503865344*E81*F81</f>
        <v>21.0015461376</v>
      </c>
      <c r="L81" s="14">
        <f>5.123328*E81*F81</f>
        <v>20.493312</v>
      </c>
      <c r="M81" s="14">
        <f t="shared" si="10"/>
        <v>241.50958325759999</v>
      </c>
      <c r="N81" s="18">
        <f>IF(N4&gt;0,(M81/$N$4/12),0)</f>
        <v>0.001969448928936295</v>
      </c>
    </row>
    <row r="82" spans="2:14" ht="36">
      <c r="B82" s="9">
        <v>75</v>
      </c>
      <c r="C82" s="7" t="s">
        <v>130</v>
      </c>
      <c r="D82" s="7" t="s">
        <v>119</v>
      </c>
      <c r="E82" s="11">
        <v>1</v>
      </c>
      <c r="F82" s="11">
        <v>4</v>
      </c>
      <c r="G82" s="14">
        <f>307.39968*E82*F82</f>
        <v>1229.59872</v>
      </c>
      <c r="H82" s="14">
        <f t="shared" si="11"/>
        <v>0</v>
      </c>
      <c r="I82" s="14">
        <f t="shared" si="9"/>
        <v>0</v>
      </c>
      <c r="J82" s="14">
        <f>292.64449536*E82*F82</f>
        <v>1170.57798144</v>
      </c>
      <c r="K82" s="14">
        <f>63.0046384128*E82*F82</f>
        <v>252.0185536512</v>
      </c>
      <c r="L82" s="14">
        <f>61.479936*E82*F82</f>
        <v>245.919744</v>
      </c>
      <c r="M82" s="14">
        <f t="shared" si="10"/>
        <v>2898.1149990912</v>
      </c>
      <c r="N82" s="18">
        <f>IF(N4&gt;0,(M82/$N$4/12),0)</f>
        <v>0.02363338714723554</v>
      </c>
    </row>
    <row r="83" spans="2:14" ht="84">
      <c r="B83" s="9">
        <v>76</v>
      </c>
      <c r="C83" s="7" t="s">
        <v>131</v>
      </c>
      <c r="D83" s="7" t="s">
        <v>132</v>
      </c>
      <c r="E83" s="11">
        <v>10.219</v>
      </c>
      <c r="F83" s="11">
        <v>3</v>
      </c>
      <c r="G83" s="14">
        <f>1591.325568*E83*F83</f>
        <v>48785.267938175995</v>
      </c>
      <c r="H83" s="14">
        <f t="shared" si="11"/>
        <v>0</v>
      </c>
      <c r="I83" s="14">
        <f t="shared" si="9"/>
        <v>0</v>
      </c>
      <c r="J83" s="14">
        <f>1514.941940736*E83*F83</f>
        <v>46443.575077143556</v>
      </c>
      <c r="K83" s="14">
        <f>326.15808841728*E83*F83</f>
        <v>9999.028516608552</v>
      </c>
      <c r="L83" s="14">
        <f>318.2651136*E83*F83</f>
        <v>9757.053587635199</v>
      </c>
      <c r="M83" s="14">
        <f t="shared" si="10"/>
        <v>114984.9251195633</v>
      </c>
      <c r="N83" s="18">
        <f>IF(N4&gt;0,(M83/$N$4/12),0)</f>
        <v>0.9376726776883199</v>
      </c>
    </row>
    <row r="84" spans="2:14" ht="19.5" customHeight="1">
      <c r="B84" s="42" t="s">
        <v>53</v>
      </c>
      <c r="C84" s="43"/>
      <c r="D84" s="43"/>
      <c r="E84" s="43"/>
      <c r="F84" s="43"/>
      <c r="G84" s="15">
        <f aca="true" t="shared" si="12" ref="G84:N84">SUM(G30:G83)</f>
        <v>183874.21703367305</v>
      </c>
      <c r="H84" s="15">
        <f t="shared" si="12"/>
        <v>87100.01030202863</v>
      </c>
      <c r="I84" s="15">
        <f t="shared" si="12"/>
        <v>5940.38688021379</v>
      </c>
      <c r="J84" s="15">
        <f t="shared" si="12"/>
        <v>175114.24725658458</v>
      </c>
      <c r="K84" s="15">
        <f t="shared" si="12"/>
        <v>47463.03045461257</v>
      </c>
      <c r="L84" s="15">
        <f t="shared" si="12"/>
        <v>36788.7074068455</v>
      </c>
      <c r="M84" s="15">
        <f t="shared" si="12"/>
        <v>536280.599333958</v>
      </c>
      <c r="N84" s="19">
        <f t="shared" si="12"/>
        <v>4.373231230501663</v>
      </c>
    </row>
    <row r="85" spans="2:14" ht="21.75" customHeight="1">
      <c r="B85" s="38" t="s">
        <v>133</v>
      </c>
      <c r="C85" s="39"/>
      <c r="D85" s="39"/>
      <c r="E85" s="39"/>
      <c r="F85" s="39"/>
      <c r="G85" s="40"/>
      <c r="H85" s="40"/>
      <c r="I85" s="40"/>
      <c r="J85" s="40"/>
      <c r="K85" s="40"/>
      <c r="L85" s="40"/>
      <c r="M85" s="40"/>
      <c r="N85" s="41"/>
    </row>
    <row r="86" spans="2:14" ht="36">
      <c r="B86" s="8">
        <v>77</v>
      </c>
      <c r="C86" s="6" t="s">
        <v>134</v>
      </c>
      <c r="D86" s="6" t="s">
        <v>135</v>
      </c>
      <c r="E86" s="10">
        <v>4.44</v>
      </c>
      <c r="F86" s="10">
        <v>104</v>
      </c>
      <c r="G86" s="13">
        <f>152.597536*E86*F86</f>
        <v>70463.43822335999</v>
      </c>
      <c r="H86" s="13">
        <f>0.823606606*E86*F86</f>
        <v>380.30858638656</v>
      </c>
      <c r="I86" s="13">
        <f aca="true" t="shared" si="13" ref="I86:I101">0*E86*F86</f>
        <v>0</v>
      </c>
      <c r="J86" s="13">
        <f>145.272854272*E86*F86</f>
        <v>67081.19318863872</v>
      </c>
      <c r="K86" s="13">
        <f>31.36286967219*E86*F86</f>
        <v>14482.118699830458</v>
      </c>
      <c r="L86" s="13">
        <f>30.5195072*E86*F86</f>
        <v>14092.687644672002</v>
      </c>
      <c r="M86" s="13">
        <f aca="true" t="shared" si="14" ref="M86:M114">SUM(G86:L86)</f>
        <v>166499.74634288772</v>
      </c>
      <c r="N86" s="17">
        <f>IF(N4&gt;0,(M86/$N$4/12),0)</f>
        <v>1.3577628791376173</v>
      </c>
    </row>
    <row r="87" spans="2:14" ht="36">
      <c r="B87" s="9">
        <v>78</v>
      </c>
      <c r="C87" s="7" t="s">
        <v>136</v>
      </c>
      <c r="D87" s="7" t="s">
        <v>137</v>
      </c>
      <c r="E87" s="11">
        <v>10.36</v>
      </c>
      <c r="F87" s="11">
        <v>52</v>
      </c>
      <c r="G87" s="14">
        <f>133.248736*E87*F87</f>
        <v>71783.75905792</v>
      </c>
      <c r="H87" s="14">
        <f>0.70427423968*E87*F87</f>
        <v>379.40661840040957</v>
      </c>
      <c r="I87" s="14">
        <f t="shared" si="13"/>
        <v>0</v>
      </c>
      <c r="J87" s="14">
        <f>126.852796672*E87*F87</f>
        <v>68338.13862313984</v>
      </c>
      <c r="K87" s="14">
        <f>27.384609725726*E87*F87</f>
        <v>14752.63695144311</v>
      </c>
      <c r="L87" s="14">
        <f>26.6497472*E87*F87</f>
        <v>14356.751811584</v>
      </c>
      <c r="M87" s="14">
        <f t="shared" si="14"/>
        <v>169610.69306248735</v>
      </c>
      <c r="N87" s="18">
        <f>IF(N4&gt;0,(M87/$N$4/12),0)</f>
        <v>1.3831318545722622</v>
      </c>
    </row>
    <row r="88" spans="2:14" ht="24">
      <c r="B88" s="9">
        <v>79</v>
      </c>
      <c r="C88" s="7" t="s">
        <v>138</v>
      </c>
      <c r="D88" s="7" t="s">
        <v>135</v>
      </c>
      <c r="E88" s="11">
        <v>4.44</v>
      </c>
      <c r="F88" s="11">
        <v>12</v>
      </c>
      <c r="G88" s="14">
        <f>195.680864*E88*F88</f>
        <v>10425.876433920002</v>
      </c>
      <c r="H88" s="14">
        <f>98.2537492088*E88*F88</f>
        <v>5234.959757844865</v>
      </c>
      <c r="I88" s="14">
        <f t="shared" si="13"/>
        <v>0</v>
      </c>
      <c r="J88" s="14">
        <f>186.288182528*E88*F88</f>
        <v>9925.43436509184</v>
      </c>
      <c r="K88" s="14">
        <f>50.423393552364*E88*F88</f>
        <v>2686.558408469954</v>
      </c>
      <c r="L88" s="14">
        <f>39.1361728*E88*F88</f>
        <v>2085.175286784</v>
      </c>
      <c r="M88" s="14">
        <f t="shared" si="14"/>
        <v>30358.004252110662</v>
      </c>
      <c r="N88" s="18">
        <f>IF(N4&gt;0,(M88/$N$4/12),0)</f>
        <v>0.2475617660902132</v>
      </c>
    </row>
    <row r="89" spans="2:14" ht="24">
      <c r="B89" s="9">
        <v>80</v>
      </c>
      <c r="C89" s="7" t="s">
        <v>139</v>
      </c>
      <c r="D89" s="7" t="s">
        <v>135</v>
      </c>
      <c r="E89" s="11">
        <v>10.36</v>
      </c>
      <c r="F89" s="11">
        <v>12</v>
      </c>
      <c r="G89" s="14">
        <f>167.6896*E89*F89</f>
        <v>20847.171071999997</v>
      </c>
      <c r="H89" s="14">
        <f>96.3597153732*E89*F89</f>
        <v>11979.439815196223</v>
      </c>
      <c r="I89" s="14">
        <f t="shared" si="13"/>
        <v>0</v>
      </c>
      <c r="J89" s="14">
        <f>159.6404992*E89*F89</f>
        <v>19846.506860543996</v>
      </c>
      <c r="K89" s="14">
        <f>44.487430530186*E89*F89</f>
        <v>5530.677363512724</v>
      </c>
      <c r="L89" s="14">
        <f>33.53792*E89*F89</f>
        <v>4169.4342144</v>
      </c>
      <c r="M89" s="14">
        <f t="shared" si="14"/>
        <v>62373.22932565294</v>
      </c>
      <c r="N89" s="18">
        <f>IF(N4&gt;0,(M89/$N$4/12),0)</f>
        <v>0.5086377444437888</v>
      </c>
    </row>
    <row r="90" spans="2:14" ht="24">
      <c r="B90" s="9">
        <v>81</v>
      </c>
      <c r="C90" s="7" t="s">
        <v>140</v>
      </c>
      <c r="D90" s="7" t="s">
        <v>21</v>
      </c>
      <c r="E90" s="11">
        <v>2</v>
      </c>
      <c r="F90" s="11">
        <v>1</v>
      </c>
      <c r="G90" s="14">
        <f>116.0928*E90*F90</f>
        <v>232.1856</v>
      </c>
      <c r="H90" s="14">
        <f>3.3897529550558*E90*F90</f>
        <v>6.7795059101116</v>
      </c>
      <c r="I90" s="14">
        <f t="shared" si="13"/>
        <v>0</v>
      </c>
      <c r="J90" s="14">
        <f>110.5203456*E90*F90</f>
        <v>221.0406912</v>
      </c>
      <c r="K90" s="14">
        <f>24.150304348281*E90*F90</f>
        <v>48.300608696562</v>
      </c>
      <c r="L90" s="14">
        <f>23.21856*E90*F90</f>
        <v>46.43712</v>
      </c>
      <c r="M90" s="14">
        <f t="shared" si="14"/>
        <v>554.7435258066736</v>
      </c>
      <c r="N90" s="18">
        <f>IF(N4&gt;0,(M90/$N$4/12),0)</f>
        <v>0.004523791677322256</v>
      </c>
    </row>
    <row r="91" spans="2:14" ht="24">
      <c r="B91" s="9">
        <v>82</v>
      </c>
      <c r="C91" s="7" t="s">
        <v>141</v>
      </c>
      <c r="D91" s="7" t="s">
        <v>142</v>
      </c>
      <c r="E91" s="11">
        <v>0.16</v>
      </c>
      <c r="F91" s="11">
        <v>2</v>
      </c>
      <c r="G91" s="14">
        <f>292.38186709664*E91*F91</f>
        <v>93.5621974709248</v>
      </c>
      <c r="H91" s="14">
        <f>42.448070996354*E91*F91</f>
        <v>13.58338271883328</v>
      </c>
      <c r="I91" s="14">
        <f t="shared" si="13"/>
        <v>0</v>
      </c>
      <c r="J91" s="14">
        <f>278.347537476*E91*F91</f>
        <v>89.07121199232</v>
      </c>
      <c r="K91" s="14">
        <f>64.383634934745*E91*F91</f>
        <v>20.6027631791184</v>
      </c>
      <c r="L91" s="14">
        <f>58.476373419328*E91*F91</f>
        <v>18.71243949418496</v>
      </c>
      <c r="M91" s="14">
        <f t="shared" si="14"/>
        <v>235.53199485538144</v>
      </c>
      <c r="N91" s="18">
        <f>IF(N4&gt;0,(M91/$N$4/12),0)</f>
        <v>0.0019207032232066202</v>
      </c>
    </row>
    <row r="92" spans="2:14" ht="24">
      <c r="B92" s="9">
        <v>83</v>
      </c>
      <c r="C92" s="7" t="s">
        <v>143</v>
      </c>
      <c r="D92" s="7" t="s">
        <v>144</v>
      </c>
      <c r="E92" s="11">
        <v>0.24</v>
      </c>
      <c r="F92" s="11">
        <v>1</v>
      </c>
      <c r="G92" s="14">
        <f>294.53173290336*E92*F92</f>
        <v>70.6876158968064</v>
      </c>
      <c r="H92" s="14">
        <f>28.914238769304*E92*F92</f>
        <v>6.9394173046329595</v>
      </c>
      <c r="I92" s="14">
        <f t="shared" si="13"/>
        <v>0</v>
      </c>
      <c r="J92" s="14">
        <f>280.394209724*E92*F92</f>
        <v>67.29461033376</v>
      </c>
      <c r="K92" s="14">
        <f>63.40321904665*E92*F92</f>
        <v>15.216772571196</v>
      </c>
      <c r="L92" s="14">
        <f>58.906346580672*E92*F92</f>
        <v>14.13752317936128</v>
      </c>
      <c r="M92" s="14">
        <f t="shared" si="14"/>
        <v>174.27593928575664</v>
      </c>
      <c r="N92" s="18">
        <f>IF(N4&gt;0,(M92/$N$4/12),0)</f>
        <v>0.00142117574522749</v>
      </c>
    </row>
    <row r="93" spans="2:14" ht="24">
      <c r="B93" s="9">
        <v>84</v>
      </c>
      <c r="C93" s="7" t="s">
        <v>145</v>
      </c>
      <c r="D93" s="7" t="s">
        <v>146</v>
      </c>
      <c r="E93" s="11">
        <v>0.8</v>
      </c>
      <c r="F93" s="11">
        <v>2</v>
      </c>
      <c r="G93" s="14">
        <f>432.1232*E93*F93</f>
        <v>691.3971200000001</v>
      </c>
      <c r="H93" s="14">
        <f>41.45583542594*E93*F93</f>
        <v>66.329336681504</v>
      </c>
      <c r="I93" s="14">
        <f t="shared" si="13"/>
        <v>0</v>
      </c>
      <c r="J93" s="14">
        <f>411.3812864*E93*F93</f>
        <v>658.2100582400001</v>
      </c>
      <c r="K93" s="14">
        <f>92.920833791724*E93*F93</f>
        <v>148.6733340667584</v>
      </c>
      <c r="L93" s="14">
        <f>86.42464*E93*F93</f>
        <v>138.279424</v>
      </c>
      <c r="M93" s="14">
        <f t="shared" si="14"/>
        <v>1702.8892729882625</v>
      </c>
      <c r="N93" s="18">
        <f>IF(N4&gt;0,(M93/$N$4/12),0)</f>
        <v>0.01388662681433492</v>
      </c>
    </row>
    <row r="94" spans="2:14" ht="36">
      <c r="B94" s="9">
        <v>85</v>
      </c>
      <c r="C94" s="7" t="s">
        <v>147</v>
      </c>
      <c r="D94" s="7" t="s">
        <v>148</v>
      </c>
      <c r="E94" s="11">
        <v>1</v>
      </c>
      <c r="F94" s="11">
        <v>1</v>
      </c>
      <c r="G94" s="14">
        <f>2551.2385536*E94*F94</f>
        <v>2551.2385536</v>
      </c>
      <c r="H94" s="14">
        <f>4.9271434557086*E94*F94</f>
        <v>4.9271434557086</v>
      </c>
      <c r="I94" s="14">
        <f t="shared" si="13"/>
        <v>0</v>
      </c>
      <c r="J94" s="14">
        <f>2428.7791030272*E94*F94</f>
        <v>2428.7791030272</v>
      </c>
      <c r="K94" s="14">
        <f>523.41920400871*E94*F94</f>
        <v>523.41920400871</v>
      </c>
      <c r="L94" s="14">
        <f>510.24771072*E94*F94</f>
        <v>510.24771072</v>
      </c>
      <c r="M94" s="14">
        <f t="shared" si="14"/>
        <v>6018.611714811619</v>
      </c>
      <c r="N94" s="18">
        <f>IF(N4&gt;0,(M94/$N$4/12),0)</f>
        <v>0.04908024035955588</v>
      </c>
    </row>
    <row r="95" spans="2:14" ht="24">
      <c r="B95" s="9">
        <v>86</v>
      </c>
      <c r="C95" s="7" t="s">
        <v>149</v>
      </c>
      <c r="D95" s="7" t="s">
        <v>150</v>
      </c>
      <c r="E95" s="11">
        <v>0.075</v>
      </c>
      <c r="F95" s="11">
        <v>1</v>
      </c>
      <c r="G95" s="14">
        <f>138.02144*E95*F95</f>
        <v>10.351608</v>
      </c>
      <c r="H95" s="14">
        <f>75.339342*E95*F95</f>
        <v>5.65045065</v>
      </c>
      <c r="I95" s="14">
        <f t="shared" si="13"/>
        <v>0</v>
      </c>
      <c r="J95" s="14">
        <f>131.39641088*E95*F95</f>
        <v>9.854730815999998</v>
      </c>
      <c r="K95" s="14">
        <f>36.1995052524*E95*F95</f>
        <v>2.71496289393</v>
      </c>
      <c r="L95" s="14">
        <f>27.604288*E95*F95</f>
        <v>2.0703215999999998</v>
      </c>
      <c r="M95" s="14">
        <f t="shared" si="14"/>
        <v>30.642073959930002</v>
      </c>
      <c r="N95" s="18">
        <f>IF(N4&gt;0,(M95/$N$4/12),0)</f>
        <v>0.0002498782819578726</v>
      </c>
    </row>
    <row r="96" spans="2:14" ht="60">
      <c r="B96" s="9">
        <v>87</v>
      </c>
      <c r="C96" s="7" t="s">
        <v>151</v>
      </c>
      <c r="D96" s="7" t="s">
        <v>152</v>
      </c>
      <c r="E96" s="11">
        <v>0.36</v>
      </c>
      <c r="F96" s="11">
        <v>1</v>
      </c>
      <c r="G96" s="14">
        <f>174.1392*E96*F96</f>
        <v>62.69011199999999</v>
      </c>
      <c r="H96" s="14">
        <f>75.339342*E96*F96</f>
        <v>27.12216312</v>
      </c>
      <c r="I96" s="14">
        <f t="shared" si="13"/>
        <v>0</v>
      </c>
      <c r="J96" s="14">
        <f>165.7805184*E96*F96</f>
        <v>59.680986624</v>
      </c>
      <c r="K96" s="14">
        <f>43.602201342*E96*F96</f>
        <v>15.69679248312</v>
      </c>
      <c r="L96" s="14">
        <f>34.82784*E96*F96</f>
        <v>12.538022400000001</v>
      </c>
      <c r="M96" s="14">
        <f t="shared" si="14"/>
        <v>177.72807662711998</v>
      </c>
      <c r="N96" s="18">
        <f>IF(N4&gt;0,(M96/$N$4/12),0)</f>
        <v>0.0014493270429846363</v>
      </c>
    </row>
    <row r="97" spans="2:14" ht="24">
      <c r="B97" s="9">
        <v>88</v>
      </c>
      <c r="C97" s="7" t="s">
        <v>153</v>
      </c>
      <c r="D97" s="7" t="s">
        <v>154</v>
      </c>
      <c r="E97" s="11">
        <v>0.4</v>
      </c>
      <c r="F97" s="11">
        <v>2</v>
      </c>
      <c r="G97" s="14">
        <f>234.76544*E97*F97</f>
        <v>187.81235200000003</v>
      </c>
      <c r="H97" s="14">
        <f>75.339342*E97*F97</f>
        <v>60.27147360000001</v>
      </c>
      <c r="I97" s="14">
        <f t="shared" si="13"/>
        <v>0</v>
      </c>
      <c r="J97" s="14">
        <f>223.49669888*E97*F97</f>
        <v>178.797359104</v>
      </c>
      <c r="K97" s="14">
        <f>56.0281554924*E97*F97</f>
        <v>44.822524393920006</v>
      </c>
      <c r="L97" s="14">
        <f>46.953088*E97*F97</f>
        <v>37.5624704</v>
      </c>
      <c r="M97" s="14">
        <f t="shared" si="14"/>
        <v>509.26617949792</v>
      </c>
      <c r="N97" s="18">
        <f>IF(N4&gt;0,(M97/$N$4/12),0)</f>
        <v>0.004152935540805689</v>
      </c>
    </row>
    <row r="98" spans="2:14" ht="12">
      <c r="B98" s="9">
        <v>89</v>
      </c>
      <c r="C98" s="7" t="s">
        <v>155</v>
      </c>
      <c r="D98" s="7" t="s">
        <v>156</v>
      </c>
      <c r="E98" s="11">
        <v>14.8</v>
      </c>
      <c r="F98" s="11">
        <v>1</v>
      </c>
      <c r="G98" s="14">
        <f>135.4416*E98*F98</f>
        <v>2004.53568</v>
      </c>
      <c r="H98" s="14">
        <f>4.848384*E98*F98</f>
        <v>71.7560832</v>
      </c>
      <c r="I98" s="14">
        <f t="shared" si="13"/>
        <v>0</v>
      </c>
      <c r="J98" s="14">
        <f>128.9404032*E98*F98</f>
        <v>1908.31796736</v>
      </c>
      <c r="K98" s="14">
        <f>28.269190656*E98*F98</f>
        <v>418.3840217088</v>
      </c>
      <c r="L98" s="14">
        <f>27.08832*E98*F98</f>
        <v>400.90713600000004</v>
      </c>
      <c r="M98" s="14">
        <f t="shared" si="14"/>
        <v>4803.9008882687995</v>
      </c>
      <c r="N98" s="18">
        <f>IF(N4&gt;0,(M98/$N$4/12),0)</f>
        <v>0.03917458401236911</v>
      </c>
    </row>
    <row r="99" spans="2:14" ht="24">
      <c r="B99" s="9">
        <v>90</v>
      </c>
      <c r="C99" s="7" t="s">
        <v>157</v>
      </c>
      <c r="D99" s="7" t="s">
        <v>158</v>
      </c>
      <c r="E99" s="11">
        <v>0.4</v>
      </c>
      <c r="F99" s="11">
        <v>120</v>
      </c>
      <c r="G99" s="14">
        <f>158.144448*E99*F99</f>
        <v>7590.933504000001</v>
      </c>
      <c r="H99" s="14">
        <f>5.8024247616*E99*F99</f>
        <v>278.5163885568</v>
      </c>
      <c r="I99" s="14">
        <f t="shared" si="13"/>
        <v>0</v>
      </c>
      <c r="J99" s="14">
        <f>150.553514496*E99*F99</f>
        <v>7226.568695808</v>
      </c>
      <c r="K99" s="14">
        <f>33.022540662048*E99*F99</f>
        <v>1585.081951778304</v>
      </c>
      <c r="L99" s="14">
        <f>31.6288896*E99*F99</f>
        <v>1518.1867008</v>
      </c>
      <c r="M99" s="14">
        <f t="shared" si="14"/>
        <v>18199.287240943107</v>
      </c>
      <c r="N99" s="18">
        <f>IF(N4&gt;0,(M99/$N$4/12),0)</f>
        <v>0.14841053626368453</v>
      </c>
    </row>
    <row r="100" spans="2:14" ht="24">
      <c r="B100" s="9">
        <v>91</v>
      </c>
      <c r="C100" s="7" t="s">
        <v>159</v>
      </c>
      <c r="D100" s="7" t="s">
        <v>160</v>
      </c>
      <c r="E100" s="11">
        <v>0.004</v>
      </c>
      <c r="F100" s="11">
        <v>10</v>
      </c>
      <c r="G100" s="14">
        <f>138723.596352*E100*F100</f>
        <v>5548.943854079999</v>
      </c>
      <c r="H100" s="14">
        <f>1051.0351481152*E100*F100</f>
        <v>42.041405924608</v>
      </c>
      <c r="I100" s="14">
        <f t="shared" si="13"/>
        <v>0</v>
      </c>
      <c r="J100" s="14">
        <f>132064.8637271*E100*F100</f>
        <v>5282.594549084</v>
      </c>
      <c r="K100" s="14">
        <f>28543.146998858*E100*F100</f>
        <v>1141.72587995432</v>
      </c>
      <c r="L100" s="14">
        <f>27744.7192704*E100*F100</f>
        <v>1109.7887708160001</v>
      </c>
      <c r="M100" s="14">
        <f t="shared" si="14"/>
        <v>13125.094459858927</v>
      </c>
      <c r="N100" s="18">
        <f>IF(N4&gt;0,(M100/$N$4/12),0)</f>
        <v>0.10703179094382137</v>
      </c>
    </row>
    <row r="101" spans="2:14" ht="12">
      <c r="B101" s="9">
        <v>92</v>
      </c>
      <c r="C101" s="7" t="s">
        <v>161</v>
      </c>
      <c r="D101" s="7" t="s">
        <v>162</v>
      </c>
      <c r="E101" s="11">
        <v>0.004</v>
      </c>
      <c r="F101" s="11">
        <v>10</v>
      </c>
      <c r="G101" s="14">
        <f>11890.56*E101*F101</f>
        <v>475.62239999999997</v>
      </c>
      <c r="H101" s="14">
        <f>25.8833*E101*F101</f>
        <v>1.035332</v>
      </c>
      <c r="I101" s="14">
        <f t="shared" si="13"/>
        <v>0</v>
      </c>
      <c r="J101" s="14">
        <f>11319.81312*E101*F101</f>
        <v>452.7925248</v>
      </c>
      <c r="K101" s="14">
        <f>2439.8069241*E101*F101</f>
        <v>97.592276964</v>
      </c>
      <c r="L101" s="14">
        <f>2378.112*E101*F101</f>
        <v>95.12448</v>
      </c>
      <c r="M101" s="14">
        <f t="shared" si="14"/>
        <v>1122.1670137639999</v>
      </c>
      <c r="N101" s="18">
        <f>IF(N4&gt;0,(M101/$N$4/12),0)</f>
        <v>0.009150985205369083</v>
      </c>
    </row>
    <row r="102" spans="2:14" ht="12">
      <c r="B102" s="9">
        <v>93</v>
      </c>
      <c r="C102" s="7" t="s">
        <v>163</v>
      </c>
      <c r="D102" s="7" t="s">
        <v>164</v>
      </c>
      <c r="E102" s="11">
        <v>3.5</v>
      </c>
      <c r="F102" s="11">
        <v>2</v>
      </c>
      <c r="G102" s="14">
        <f>138.247424*E102*F102</f>
        <v>967.7319679999999</v>
      </c>
      <c r="H102" s="14">
        <f>113.44309488*E102*F102</f>
        <v>794.10166416</v>
      </c>
      <c r="I102" s="14">
        <f>49.5495*E102*F102</f>
        <v>346.8465</v>
      </c>
      <c r="J102" s="14">
        <f>131.611547648*E102*F102</f>
        <v>921.280833536</v>
      </c>
      <c r="K102" s="14">
        <f>45.44941448544*E102*F102</f>
        <v>318.14590139808</v>
      </c>
      <c r="L102" s="14">
        <f>27.6494848*E102*F102</f>
        <v>193.5463936</v>
      </c>
      <c r="M102" s="14">
        <f t="shared" si="14"/>
        <v>3541.6532606940805</v>
      </c>
      <c r="N102" s="18">
        <f>IF(N4&gt;0,(M102/$N$4/12),0)</f>
        <v>0.028881277201732725</v>
      </c>
    </row>
    <row r="103" spans="2:14" ht="12">
      <c r="B103" s="9">
        <v>94</v>
      </c>
      <c r="C103" s="7" t="s">
        <v>165</v>
      </c>
      <c r="D103" s="7" t="s">
        <v>166</v>
      </c>
      <c r="E103" s="11">
        <v>0.04</v>
      </c>
      <c r="F103" s="11">
        <v>365</v>
      </c>
      <c r="G103" s="14">
        <f>945.29952*E103*F103</f>
        <v>13801.372992</v>
      </c>
      <c r="H103" s="14">
        <f>7.178032512*E103*F103</f>
        <v>104.7992746752</v>
      </c>
      <c r="I103" s="14">
        <f aca="true" t="shared" si="15" ref="I103:I114">0*E103*F103</f>
        <v>0</v>
      </c>
      <c r="J103" s="14">
        <f>899.92514304*E103*F103</f>
        <v>13138.907088384</v>
      </c>
      <c r="K103" s="14">
        <f>194.50228303296*E103*F103</f>
        <v>2839.7333322812165</v>
      </c>
      <c r="L103" s="14">
        <f>189.059904*E103*F103</f>
        <v>2760.2745984</v>
      </c>
      <c r="M103" s="14">
        <f t="shared" si="14"/>
        <v>32645.087285740414</v>
      </c>
      <c r="N103" s="18">
        <f>IF(N4&gt;0,(M103/$N$4/12),0)</f>
        <v>0.2662123437203609</v>
      </c>
    </row>
    <row r="104" spans="2:14" ht="12">
      <c r="B104" s="9">
        <v>95</v>
      </c>
      <c r="C104" s="7" t="s">
        <v>167</v>
      </c>
      <c r="D104" s="7" t="s">
        <v>168</v>
      </c>
      <c r="E104" s="11">
        <v>0.08</v>
      </c>
      <c r="F104" s="11">
        <v>1</v>
      </c>
      <c r="G104" s="14">
        <f>12672.352*E104*F104</f>
        <v>1013.7881600000001</v>
      </c>
      <c r="H104" s="14">
        <f>0*E104*F104</f>
        <v>0</v>
      </c>
      <c r="I104" s="14">
        <f t="shared" si="15"/>
        <v>0</v>
      </c>
      <c r="J104" s="14">
        <f>12064.079104*E104*F104</f>
        <v>965.1263283200001</v>
      </c>
      <c r="K104" s="14">
        <f>2597.32526592*E104*F104</f>
        <v>207.78602127360003</v>
      </c>
      <c r="L104" s="14">
        <f>2534.4704*E104*F104</f>
        <v>202.75763200000003</v>
      </c>
      <c r="M104" s="14">
        <f t="shared" si="14"/>
        <v>2389.4581415936</v>
      </c>
      <c r="N104" s="18">
        <f>IF(N4&gt;0,(M104/$N$4/12),0)</f>
        <v>0.019485420471618227</v>
      </c>
    </row>
    <row r="105" spans="2:14" ht="12">
      <c r="B105" s="9">
        <v>96</v>
      </c>
      <c r="C105" s="7" t="s">
        <v>169</v>
      </c>
      <c r="D105" s="7" t="s">
        <v>170</v>
      </c>
      <c r="E105" s="11">
        <v>0.03</v>
      </c>
      <c r="F105" s="11">
        <v>1</v>
      </c>
      <c r="G105" s="14">
        <f>9170.24*E105*F105</f>
        <v>275.1072</v>
      </c>
      <c r="H105" s="14">
        <f>0*E105*F105</f>
        <v>0</v>
      </c>
      <c r="I105" s="14">
        <f t="shared" si="15"/>
        <v>0</v>
      </c>
      <c r="J105" s="14">
        <f>8730.06848*E105*F105</f>
        <v>261.9020544</v>
      </c>
      <c r="K105" s="14">
        <f>1879.5323904*E105*F105</f>
        <v>56.38597171199999</v>
      </c>
      <c r="L105" s="14">
        <f>1834.048*E105*F105</f>
        <v>55.02144</v>
      </c>
      <c r="M105" s="14">
        <f t="shared" si="14"/>
        <v>648.4166661119999</v>
      </c>
      <c r="N105" s="18">
        <f>IF(N4&gt;0,(M105/$N$4/12),0)</f>
        <v>0.005287672196496721</v>
      </c>
    </row>
    <row r="106" spans="2:14" ht="36">
      <c r="B106" s="9">
        <v>97</v>
      </c>
      <c r="C106" s="7" t="s">
        <v>171</v>
      </c>
      <c r="D106" s="7" t="s">
        <v>172</v>
      </c>
      <c r="E106" s="11">
        <v>0.04</v>
      </c>
      <c r="F106" s="11">
        <v>31</v>
      </c>
      <c r="G106" s="14">
        <f>2774.067648*E106*F106</f>
        <v>3439.84388352</v>
      </c>
      <c r="H106" s="14">
        <f>124.74715268*E106*F106</f>
        <v>154.68646932320001</v>
      </c>
      <c r="I106" s="14">
        <f t="shared" si="15"/>
        <v>0</v>
      </c>
      <c r="J106" s="14">
        <f>2640.912400896*E106*F106</f>
        <v>3274.73137711104</v>
      </c>
      <c r="K106" s="14">
        <f>581.67135616548*E106*F106</f>
        <v>721.2724816451952</v>
      </c>
      <c r="L106" s="14">
        <f>554.8135296*E106*F106</f>
        <v>687.9687767040001</v>
      </c>
      <c r="M106" s="14">
        <f t="shared" si="14"/>
        <v>8278.502988303435</v>
      </c>
      <c r="N106" s="18">
        <f>IF(N4&gt;0,(M106/$N$4/12),0)</f>
        <v>0.06750907613516843</v>
      </c>
    </row>
    <row r="107" spans="2:14" ht="36">
      <c r="B107" s="9">
        <v>98</v>
      </c>
      <c r="C107" s="7" t="s">
        <v>173</v>
      </c>
      <c r="D107" s="7" t="s">
        <v>172</v>
      </c>
      <c r="E107" s="11">
        <v>0.04</v>
      </c>
      <c r="F107" s="11">
        <v>28</v>
      </c>
      <c r="G107" s="14">
        <f>12089.132352*E107*F107</f>
        <v>13539.828234240002</v>
      </c>
      <c r="H107" s="14">
        <f>273.845314*E107*F107</f>
        <v>306.70675167999997</v>
      </c>
      <c r="I107" s="14">
        <f t="shared" si="15"/>
        <v>0</v>
      </c>
      <c r="J107" s="14">
        <f>11508.853999104*E107*F107</f>
        <v>12889.91647899648</v>
      </c>
      <c r="K107" s="14">
        <f>2506.5423248359*E107*F107</f>
        <v>2807.3274038162085</v>
      </c>
      <c r="L107" s="14">
        <f>2417.8264704*E107*F107</f>
        <v>2707.965646848</v>
      </c>
      <c r="M107" s="14">
        <f t="shared" si="14"/>
        <v>32251.74451558069</v>
      </c>
      <c r="N107" s="18">
        <f>IF(N4&gt;0,(M107/$N$4/12),0)</f>
        <v>0.26300473395619833</v>
      </c>
    </row>
    <row r="108" spans="2:14" ht="12">
      <c r="B108" s="9">
        <v>99</v>
      </c>
      <c r="C108" s="7" t="s">
        <v>174</v>
      </c>
      <c r="D108" s="7" t="s">
        <v>175</v>
      </c>
      <c r="E108" s="11">
        <v>4</v>
      </c>
      <c r="F108" s="11">
        <v>4</v>
      </c>
      <c r="G108" s="14">
        <f>25.6836096*E108*F108</f>
        <v>410.9377536</v>
      </c>
      <c r="H108" s="14">
        <f>666.29655741*E108*F108</f>
        <v>10660.74491856</v>
      </c>
      <c r="I108" s="14">
        <f t="shared" si="15"/>
        <v>0</v>
      </c>
      <c r="J108" s="14">
        <f>24.4507963392*E108*F108</f>
        <v>391.2127414272</v>
      </c>
      <c r="K108" s="14">
        <f>75.225251151666*E108*F108</f>
        <v>1203.604018426656</v>
      </c>
      <c r="L108" s="14">
        <f>5.13672192*E108*F108</f>
        <v>82.18755072</v>
      </c>
      <c r="M108" s="14">
        <f t="shared" si="14"/>
        <v>12748.686982733856</v>
      </c>
      <c r="N108" s="18">
        <f>IF(N4&gt;0,(M108/$N$4/12),0)</f>
        <v>0.10396228416620883</v>
      </c>
    </row>
    <row r="109" spans="2:14" ht="24">
      <c r="B109" s="9">
        <v>100</v>
      </c>
      <c r="C109" s="7" t="s">
        <v>176</v>
      </c>
      <c r="D109" s="7" t="s">
        <v>177</v>
      </c>
      <c r="E109" s="11">
        <v>18</v>
      </c>
      <c r="F109" s="11">
        <v>2</v>
      </c>
      <c r="G109" s="14">
        <f>321.04512*E109*F109</f>
        <v>11557.624319999999</v>
      </c>
      <c r="H109" s="14">
        <f>0*E109*F109</f>
        <v>0</v>
      </c>
      <c r="I109" s="14">
        <f t="shared" si="15"/>
        <v>0</v>
      </c>
      <c r="J109" s="14">
        <f>305.63495424*E109*F109</f>
        <v>11002.85835264</v>
      </c>
      <c r="K109" s="14">
        <f>65.8014077952*E109*F109</f>
        <v>2368.8506806272003</v>
      </c>
      <c r="L109" s="14">
        <f>64.209024*E109*F109</f>
        <v>2311.524864</v>
      </c>
      <c r="M109" s="14">
        <f t="shared" si="14"/>
        <v>27240.8582172672</v>
      </c>
      <c r="N109" s="18">
        <f>IF(N4&gt;0,(M109/$N$4/12),0)</f>
        <v>0.22214223682411194</v>
      </c>
    </row>
    <row r="110" spans="2:14" ht="12">
      <c r="B110" s="9">
        <v>101</v>
      </c>
      <c r="C110" s="7" t="s">
        <v>178</v>
      </c>
      <c r="D110" s="7" t="s">
        <v>179</v>
      </c>
      <c r="E110" s="11">
        <v>18</v>
      </c>
      <c r="F110" s="11">
        <v>2</v>
      </c>
      <c r="G110" s="14">
        <f>142.68672*E110*F110</f>
        <v>5136.72192</v>
      </c>
      <c r="H110" s="14">
        <f>0*E110*F110</f>
        <v>0</v>
      </c>
      <c r="I110" s="14">
        <f t="shared" si="15"/>
        <v>0</v>
      </c>
      <c r="J110" s="14">
        <f>135.83775744*E110*F110</f>
        <v>4890.159267839999</v>
      </c>
      <c r="K110" s="14">
        <f>29.2450701312*E110*F110</f>
        <v>1052.8225247231999</v>
      </c>
      <c r="L110" s="14">
        <f>28.537344*E110*F110</f>
        <v>1027.344384</v>
      </c>
      <c r="M110" s="14">
        <f t="shared" si="14"/>
        <v>12107.0480965632</v>
      </c>
      <c r="N110" s="18">
        <f>IF(N4&gt;0,(M110/$N$4/12),0)</f>
        <v>0.09872988303293863</v>
      </c>
    </row>
    <row r="111" spans="2:14" ht="24">
      <c r="B111" s="9">
        <v>102</v>
      </c>
      <c r="C111" s="7" t="s">
        <v>180</v>
      </c>
      <c r="D111" s="7" t="s">
        <v>181</v>
      </c>
      <c r="E111" s="11">
        <v>0.4</v>
      </c>
      <c r="F111" s="11">
        <v>17</v>
      </c>
      <c r="G111" s="14">
        <f>164.089728*E111*F111</f>
        <v>1115.8101504</v>
      </c>
      <c r="H111" s="14">
        <f>1.2492315912*E111*F111</f>
        <v>8.494774820160002</v>
      </c>
      <c r="I111" s="14">
        <f t="shared" si="15"/>
        <v>0</v>
      </c>
      <c r="J111" s="14">
        <f>156.213421056*E111*F111</f>
        <v>1062.2512631808</v>
      </c>
      <c r="K111" s="14">
        <f>33.762999967956*E111*F111</f>
        <v>229.58839978210082</v>
      </c>
      <c r="L111" s="14">
        <f>32.8179456*E111*F111</f>
        <v>223.16203008000002</v>
      </c>
      <c r="M111" s="14">
        <f t="shared" si="14"/>
        <v>2639.306618263061</v>
      </c>
      <c r="N111" s="18">
        <f>IF(N4&gt;0,(M111/$N$4/12),0)</f>
        <v>0.02152287094515984</v>
      </c>
    </row>
    <row r="112" spans="2:14" ht="24">
      <c r="B112" s="9">
        <v>103</v>
      </c>
      <c r="C112" s="7" t="s">
        <v>182</v>
      </c>
      <c r="D112" s="7" t="s">
        <v>181</v>
      </c>
      <c r="E112" s="11">
        <v>0.4</v>
      </c>
      <c r="F112" s="11">
        <v>35</v>
      </c>
      <c r="G112" s="14">
        <f>30.320928*E112*F112</f>
        <v>424.492992</v>
      </c>
      <c r="H112" s="14">
        <f>0.58024247616*E112*F112</f>
        <v>8.12339466624</v>
      </c>
      <c r="I112" s="14">
        <f t="shared" si="15"/>
        <v>0</v>
      </c>
      <c r="J112" s="14">
        <f>28.865523456*E112*F112</f>
        <v>404.117328384</v>
      </c>
      <c r="K112" s="14">
        <f>6.2755028628768*E112*F112</f>
        <v>87.85704008027521</v>
      </c>
      <c r="L112" s="14">
        <f>6.0641856*E112*F112</f>
        <v>84.89859840000001</v>
      </c>
      <c r="M112" s="14">
        <f t="shared" si="14"/>
        <v>1009.4893535305152</v>
      </c>
      <c r="N112" s="18">
        <f>IF(N4&gt;0,(M112/$N$4/12),0)</f>
        <v>0.008232127683159762</v>
      </c>
    </row>
    <row r="113" spans="2:14" ht="36">
      <c r="B113" s="9">
        <v>104</v>
      </c>
      <c r="C113" s="7" t="s">
        <v>183</v>
      </c>
      <c r="D113" s="7" t="s">
        <v>184</v>
      </c>
      <c r="E113" s="11">
        <v>2.69</v>
      </c>
      <c r="F113" s="11">
        <v>1</v>
      </c>
      <c r="G113" s="14">
        <f>204.54976*E113*F113</f>
        <v>550.2388543999999</v>
      </c>
      <c r="H113" s="14">
        <f>205.759192342*E113*F113</f>
        <v>553.49222739998</v>
      </c>
      <c r="I113" s="14">
        <f t="shared" si="15"/>
        <v>0</v>
      </c>
      <c r="J113" s="14">
        <f>194.73137152*E113*F113</f>
        <v>523.8273893888</v>
      </c>
      <c r="K113" s="14">
        <f>63.52923400551*E113*F113</f>
        <v>170.8936394748219</v>
      </c>
      <c r="L113" s="14">
        <f>40.909952*E113*F113</f>
        <v>110.04777087999999</v>
      </c>
      <c r="M113" s="14">
        <f t="shared" si="14"/>
        <v>1908.4998815436018</v>
      </c>
      <c r="N113" s="18">
        <f>IF(N4&gt;0,(M113/$N$4/12),0)</f>
        <v>0.015563328779264132</v>
      </c>
    </row>
    <row r="114" spans="2:14" ht="36">
      <c r="B114" s="9">
        <v>105</v>
      </c>
      <c r="C114" s="7" t="s">
        <v>185</v>
      </c>
      <c r="D114" s="7" t="s">
        <v>184</v>
      </c>
      <c r="E114" s="11">
        <v>1.3</v>
      </c>
      <c r="F114" s="11">
        <v>1</v>
      </c>
      <c r="G114" s="14">
        <f>562.864512*E114*F114</f>
        <v>731.7238656000001</v>
      </c>
      <c r="H114" s="14">
        <f>143.83715964*E114*F114</f>
        <v>186.98830753200002</v>
      </c>
      <c r="I114" s="14">
        <f t="shared" si="15"/>
        <v>0</v>
      </c>
      <c r="J114" s="14">
        <f>535.847015424*E114*F114</f>
        <v>696.6011200512</v>
      </c>
      <c r="K114" s="14">
        <f>130.46761214172*E114*F114</f>
        <v>169.607895784236</v>
      </c>
      <c r="L114" s="14">
        <f>112.5729024*E114*F114</f>
        <v>146.34477312</v>
      </c>
      <c r="M114" s="14">
        <f t="shared" si="14"/>
        <v>1931.265962087436</v>
      </c>
      <c r="N114" s="18">
        <f>IF(N4&gt;0,(M114/$N$4/12),0)</f>
        <v>0.015748980347778944</v>
      </c>
    </row>
    <row r="115" spans="2:14" ht="12.75">
      <c r="B115" s="42" t="s">
        <v>53</v>
      </c>
      <c r="C115" s="43"/>
      <c r="D115" s="43"/>
      <c r="E115" s="43"/>
      <c r="F115" s="43"/>
      <c r="G115" s="15">
        <f aca="true" t="shared" si="16" ref="G115:N115">SUM(G86:G114)</f>
        <v>246005.4276780078</v>
      </c>
      <c r="H115" s="15">
        <f t="shared" si="16"/>
        <v>31337.20464376703</v>
      </c>
      <c r="I115" s="15">
        <f t="shared" si="16"/>
        <v>346.8465</v>
      </c>
      <c r="J115" s="15">
        <f t="shared" si="16"/>
        <v>234197.16714946326</v>
      </c>
      <c r="K115" s="15">
        <f t="shared" si="16"/>
        <v>53748.097826979756</v>
      </c>
      <c r="L115" s="15">
        <f t="shared" si="16"/>
        <v>49201.08553560155</v>
      </c>
      <c r="M115" s="15">
        <f t="shared" si="16"/>
        <v>614835.8293338192</v>
      </c>
      <c r="N115" s="19">
        <f t="shared" si="16"/>
        <v>5.013829054814719</v>
      </c>
    </row>
    <row r="116" spans="2:14" ht="27.75" customHeight="1">
      <c r="B116" s="44" t="s">
        <v>186</v>
      </c>
      <c r="C116" s="45"/>
      <c r="D116" s="45"/>
      <c r="E116" s="45"/>
      <c r="F116" s="45"/>
      <c r="G116" s="20">
        <f aca="true" t="shared" si="17" ref="G116:N116">G28+G84+G115</f>
        <v>443574.01027840085</v>
      </c>
      <c r="H116" s="20">
        <f t="shared" si="17"/>
        <v>158391.70913503025</v>
      </c>
      <c r="I116" s="20">
        <f t="shared" si="17"/>
        <v>6509.92937191379</v>
      </c>
      <c r="J116" s="20">
        <f t="shared" si="17"/>
        <v>422444.62361023086</v>
      </c>
      <c r="K116" s="20">
        <f t="shared" si="17"/>
        <v>108246.62860153525</v>
      </c>
      <c r="L116" s="20">
        <f t="shared" si="17"/>
        <v>88748.87050635106</v>
      </c>
      <c r="M116" s="20">
        <f t="shared" si="17"/>
        <v>1227915.7715034618</v>
      </c>
      <c r="N116" s="54">
        <f t="shared" si="17"/>
        <v>10.013339298557115</v>
      </c>
    </row>
    <row r="120" spans="3:14" ht="18">
      <c r="C120" s="46" t="s">
        <v>187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3:11" ht="19.5" customHeight="1">
      <c r="C121" s="47" t="s">
        <v>188</v>
      </c>
      <c r="D121" s="35"/>
      <c r="E121" s="48">
        <f>G116</f>
        <v>443574.01027840085</v>
      </c>
      <c r="F121" s="35"/>
      <c r="G121" s="47" t="s">
        <v>189</v>
      </c>
      <c r="H121" s="35"/>
      <c r="I121" s="35"/>
      <c r="J121" s="48">
        <f>J116</f>
        <v>422444.62361023086</v>
      </c>
      <c r="K121" s="35"/>
    </row>
    <row r="122" spans="3:11" ht="19.5" customHeight="1">
      <c r="C122" s="47" t="s">
        <v>190</v>
      </c>
      <c r="D122" s="35"/>
      <c r="E122" s="48">
        <f>H116</f>
        <v>158391.70913503025</v>
      </c>
      <c r="F122" s="35"/>
      <c r="G122" s="47" t="s">
        <v>191</v>
      </c>
      <c r="H122" s="35"/>
      <c r="I122" s="35"/>
      <c r="J122" s="48">
        <f>K116</f>
        <v>108246.62860153525</v>
      </c>
      <c r="K122" s="35"/>
    </row>
    <row r="123" spans="3:11" ht="19.5" customHeight="1">
      <c r="C123" s="47" t="s">
        <v>192</v>
      </c>
      <c r="D123" s="35"/>
      <c r="E123" s="48">
        <f>I116</f>
        <v>6509.92937191379</v>
      </c>
      <c r="F123" s="35"/>
      <c r="G123" s="47" t="s">
        <v>193</v>
      </c>
      <c r="H123" s="35"/>
      <c r="I123" s="35"/>
      <c r="J123" s="48">
        <f>L116</f>
        <v>88748.87050635106</v>
      </c>
      <c r="K123" s="35"/>
    </row>
    <row r="124" spans="3:11" ht="15">
      <c r="C124" s="5"/>
      <c r="E124" s="21"/>
      <c r="G124" s="47" t="s">
        <v>194</v>
      </c>
      <c r="H124" s="35"/>
      <c r="I124" s="35"/>
      <c r="J124" s="48">
        <f>M116</f>
        <v>1227915.7715034618</v>
      </c>
      <c r="K124" s="35"/>
    </row>
  </sheetData>
  <sheetProtection formatCells="0" formatColumns="0" formatRows="0" insertColumns="0" insertRows="0" insertHyperlinks="0" deleteColumns="0" deleteRows="0" sort="0" autoFilter="0" pivotTables="0"/>
  <mergeCells count="25">
    <mergeCell ref="G124:I124"/>
    <mergeCell ref="J124:K124"/>
    <mergeCell ref="C122:D122"/>
    <mergeCell ref="E122:F122"/>
    <mergeCell ref="G122:I122"/>
    <mergeCell ref="J122:K122"/>
    <mergeCell ref="C123:D123"/>
    <mergeCell ref="E123:F123"/>
    <mergeCell ref="G123:I123"/>
    <mergeCell ref="J123:K123"/>
    <mergeCell ref="B84:F84"/>
    <mergeCell ref="B85:N85"/>
    <mergeCell ref="B115:F115"/>
    <mergeCell ref="B116:F116"/>
    <mergeCell ref="C120:N120"/>
    <mergeCell ref="C121:D121"/>
    <mergeCell ref="E121:F121"/>
    <mergeCell ref="G121:I121"/>
    <mergeCell ref="J121:K121"/>
    <mergeCell ref="B1:M1"/>
    <mergeCell ref="B4:K4"/>
    <mergeCell ref="L4:M4"/>
    <mergeCell ref="B5:N5"/>
    <mergeCell ref="B28:F28"/>
    <mergeCell ref="B29:N29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workbookViewId="0" topLeftCell="B1">
      <selection activeCell="B167" sqref="B167:G16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9" t="s">
        <v>195</v>
      </c>
      <c r="C1" s="49"/>
      <c r="D1" s="49"/>
      <c r="E1" s="49"/>
      <c r="F1" s="49"/>
      <c r="G1" s="49"/>
    </row>
    <row r="3" spans="1:7" ht="27">
      <c r="A3" s="22"/>
      <c r="B3" s="23" t="s">
        <v>1</v>
      </c>
      <c r="C3" s="23" t="s">
        <v>196</v>
      </c>
      <c r="D3" s="23" t="s">
        <v>197</v>
      </c>
      <c r="E3" s="23" t="s">
        <v>4</v>
      </c>
      <c r="F3" s="23" t="s">
        <v>198</v>
      </c>
      <c r="G3" s="24" t="s">
        <v>12</v>
      </c>
    </row>
    <row r="4" spans="2:7" ht="16.5">
      <c r="B4" s="50" t="s">
        <v>199</v>
      </c>
      <c r="C4" s="50"/>
      <c r="D4" s="50"/>
      <c r="E4" s="50"/>
      <c r="F4" s="50"/>
      <c r="G4" s="50"/>
    </row>
    <row r="5" spans="2:7" ht="12">
      <c r="B5" s="25">
        <v>1</v>
      </c>
      <c r="C5" s="27" t="s">
        <v>200</v>
      </c>
      <c r="D5" s="27" t="s">
        <v>201</v>
      </c>
      <c r="E5" s="28">
        <v>3.25</v>
      </c>
      <c r="F5" s="29">
        <v>128.99200000000002</v>
      </c>
      <c r="G5" s="30">
        <f aca="true" t="shared" si="0" ref="G5:G36">E5*F5</f>
        <v>419.22400000000005</v>
      </c>
    </row>
    <row r="6" spans="2:7" ht="12">
      <c r="B6" s="26">
        <v>2</v>
      </c>
      <c r="C6" s="7" t="s">
        <v>202</v>
      </c>
      <c r="D6" s="7" t="s">
        <v>201</v>
      </c>
      <c r="E6" s="12">
        <v>10.6204</v>
      </c>
      <c r="F6" s="14">
        <v>159.09120000000001</v>
      </c>
      <c r="G6" s="31">
        <f t="shared" si="0"/>
        <v>1689.6121804800002</v>
      </c>
    </row>
    <row r="7" spans="2:7" ht="12">
      <c r="B7" s="26">
        <v>3</v>
      </c>
      <c r="C7" s="7" t="s">
        <v>203</v>
      </c>
      <c r="D7" s="7" t="s">
        <v>201</v>
      </c>
      <c r="E7" s="12">
        <v>411.2424</v>
      </c>
      <c r="F7" s="14">
        <v>118.90559999999999</v>
      </c>
      <c r="G7" s="31">
        <f t="shared" si="0"/>
        <v>48899.024317439995</v>
      </c>
    </row>
    <row r="8" spans="2:7" ht="12">
      <c r="B8" s="26">
        <v>4</v>
      </c>
      <c r="C8" s="7" t="s">
        <v>204</v>
      </c>
      <c r="D8" s="7" t="s">
        <v>201</v>
      </c>
      <c r="E8" s="12">
        <v>9.0875</v>
      </c>
      <c r="F8" s="14">
        <v>141.06879999999998</v>
      </c>
      <c r="G8" s="31">
        <f t="shared" si="0"/>
        <v>1281.96272</v>
      </c>
    </row>
    <row r="9" spans="2:7" ht="12">
      <c r="B9" s="26">
        <v>5</v>
      </c>
      <c r="C9" s="7" t="s">
        <v>205</v>
      </c>
      <c r="D9" s="7" t="s">
        <v>201</v>
      </c>
      <c r="E9" s="12">
        <v>4.5</v>
      </c>
      <c r="F9" s="14">
        <v>128.99200000000002</v>
      </c>
      <c r="G9" s="31">
        <f t="shared" si="0"/>
        <v>580.464</v>
      </c>
    </row>
    <row r="10" spans="2:7" ht="12">
      <c r="B10" s="26">
        <v>6</v>
      </c>
      <c r="C10" s="7" t="s">
        <v>206</v>
      </c>
      <c r="D10" s="7" t="s">
        <v>201</v>
      </c>
      <c r="E10" s="12">
        <v>4.5</v>
      </c>
      <c r="F10" s="14">
        <v>141.06879999999998</v>
      </c>
      <c r="G10" s="31">
        <f t="shared" si="0"/>
        <v>634.8095999999999</v>
      </c>
    </row>
    <row r="11" spans="2:7" ht="12">
      <c r="B11" s="26">
        <v>7</v>
      </c>
      <c r="C11" s="7" t="s">
        <v>207</v>
      </c>
      <c r="D11" s="7" t="s">
        <v>201</v>
      </c>
      <c r="E11" s="12">
        <v>7.752</v>
      </c>
      <c r="F11" s="14">
        <v>159.09120000000001</v>
      </c>
      <c r="G11" s="31">
        <f t="shared" si="0"/>
        <v>1233.2749824</v>
      </c>
    </row>
    <row r="12" spans="2:7" ht="12">
      <c r="B12" s="26">
        <v>8</v>
      </c>
      <c r="C12" s="7" t="s">
        <v>208</v>
      </c>
      <c r="D12" s="7" t="s">
        <v>201</v>
      </c>
      <c r="E12" s="12">
        <v>9.9856</v>
      </c>
      <c r="F12" s="14">
        <v>141.06879999999998</v>
      </c>
      <c r="G12" s="31">
        <f t="shared" si="0"/>
        <v>1408.6566092799999</v>
      </c>
    </row>
    <row r="13" spans="2:7" ht="12">
      <c r="B13" s="26">
        <v>9</v>
      </c>
      <c r="C13" s="7" t="s">
        <v>209</v>
      </c>
      <c r="D13" s="7" t="s">
        <v>201</v>
      </c>
      <c r="E13" s="12">
        <v>6.5</v>
      </c>
      <c r="F13" s="14">
        <v>159.09120000000001</v>
      </c>
      <c r="G13" s="31">
        <f t="shared" si="0"/>
        <v>1034.0928000000001</v>
      </c>
    </row>
    <row r="14" spans="2:7" ht="12">
      <c r="B14" s="26">
        <v>10</v>
      </c>
      <c r="C14" s="7" t="s">
        <v>210</v>
      </c>
      <c r="D14" s="7" t="s">
        <v>201</v>
      </c>
      <c r="E14" s="12">
        <v>10.8</v>
      </c>
      <c r="F14" s="14">
        <v>141.06879999999998</v>
      </c>
      <c r="G14" s="31">
        <f t="shared" si="0"/>
        <v>1523.5430399999998</v>
      </c>
    </row>
    <row r="15" spans="2:7" ht="24">
      <c r="B15" s="26">
        <v>11</v>
      </c>
      <c r="C15" s="7" t="s">
        <v>211</v>
      </c>
      <c r="D15" s="7" t="s">
        <v>201</v>
      </c>
      <c r="E15" s="12">
        <v>7.2</v>
      </c>
      <c r="F15" s="14">
        <v>128.99200000000002</v>
      </c>
      <c r="G15" s="31">
        <f t="shared" si="0"/>
        <v>928.7424000000002</v>
      </c>
    </row>
    <row r="16" spans="2:7" ht="24">
      <c r="B16" s="26">
        <v>12</v>
      </c>
      <c r="C16" s="7" t="s">
        <v>212</v>
      </c>
      <c r="D16" s="7" t="s">
        <v>201</v>
      </c>
      <c r="E16" s="12">
        <v>7.2</v>
      </c>
      <c r="F16" s="14">
        <v>141.06879999999998</v>
      </c>
      <c r="G16" s="31">
        <f t="shared" si="0"/>
        <v>1015.6953599999999</v>
      </c>
    </row>
    <row r="17" spans="2:7" ht="24">
      <c r="B17" s="26">
        <v>13</v>
      </c>
      <c r="C17" s="7" t="s">
        <v>213</v>
      </c>
      <c r="D17" s="7" t="s">
        <v>201</v>
      </c>
      <c r="E17" s="12">
        <v>10.36</v>
      </c>
      <c r="F17" s="14">
        <v>159.09120000000001</v>
      </c>
      <c r="G17" s="31">
        <f t="shared" si="0"/>
        <v>1648.1848320000001</v>
      </c>
    </row>
    <row r="18" spans="2:7" ht="12">
      <c r="B18" s="26">
        <v>14</v>
      </c>
      <c r="C18" s="7" t="s">
        <v>214</v>
      </c>
      <c r="D18" s="7" t="s">
        <v>201</v>
      </c>
      <c r="E18" s="12">
        <v>4.05</v>
      </c>
      <c r="F18" s="14">
        <v>128.99200000000002</v>
      </c>
      <c r="G18" s="31">
        <f t="shared" si="0"/>
        <v>522.4176000000001</v>
      </c>
    </row>
    <row r="19" spans="2:7" ht="12">
      <c r="B19" s="26">
        <v>15</v>
      </c>
      <c r="C19" s="7" t="s">
        <v>215</v>
      </c>
      <c r="D19" s="7" t="s">
        <v>201</v>
      </c>
      <c r="E19" s="12">
        <v>2.2</v>
      </c>
      <c r="F19" s="14">
        <v>141.06879999999998</v>
      </c>
      <c r="G19" s="31">
        <f t="shared" si="0"/>
        <v>310.35136</v>
      </c>
    </row>
    <row r="20" spans="2:7" ht="12">
      <c r="B20" s="26">
        <v>16</v>
      </c>
      <c r="C20" s="7" t="s">
        <v>216</v>
      </c>
      <c r="D20" s="7" t="s">
        <v>201</v>
      </c>
      <c r="E20" s="12">
        <v>0.6748</v>
      </c>
      <c r="F20" s="14">
        <v>142.8864</v>
      </c>
      <c r="G20" s="31">
        <f t="shared" si="0"/>
        <v>96.41974272</v>
      </c>
    </row>
    <row r="21" spans="2:7" ht="12">
      <c r="B21" s="26">
        <v>17</v>
      </c>
      <c r="C21" s="7" t="s">
        <v>217</v>
      </c>
      <c r="D21" s="7" t="s">
        <v>201</v>
      </c>
      <c r="E21" s="12">
        <v>1.85</v>
      </c>
      <c r="F21" s="14">
        <v>159.09120000000001</v>
      </c>
      <c r="G21" s="31">
        <f t="shared" si="0"/>
        <v>294.31872000000004</v>
      </c>
    </row>
    <row r="22" spans="2:7" ht="12">
      <c r="B22" s="26">
        <v>18</v>
      </c>
      <c r="C22" s="7" t="s">
        <v>218</v>
      </c>
      <c r="D22" s="7" t="s">
        <v>201</v>
      </c>
      <c r="E22" s="12">
        <v>3.6</v>
      </c>
      <c r="F22" s="14">
        <v>141.06879999999998</v>
      </c>
      <c r="G22" s="31">
        <f t="shared" si="0"/>
        <v>507.84767999999997</v>
      </c>
    </row>
    <row r="23" spans="2:7" ht="12">
      <c r="B23" s="26">
        <v>19</v>
      </c>
      <c r="C23" s="7" t="s">
        <v>219</v>
      </c>
      <c r="D23" s="7" t="s">
        <v>201</v>
      </c>
      <c r="E23" s="12">
        <v>68.68</v>
      </c>
      <c r="F23" s="14">
        <v>159.09120000000001</v>
      </c>
      <c r="G23" s="31">
        <f t="shared" si="0"/>
        <v>10926.383616000003</v>
      </c>
    </row>
    <row r="24" spans="2:7" ht="24">
      <c r="B24" s="26">
        <v>20</v>
      </c>
      <c r="C24" s="7" t="s">
        <v>220</v>
      </c>
      <c r="D24" s="7" t="s">
        <v>201</v>
      </c>
      <c r="E24" s="12">
        <v>29.92</v>
      </c>
      <c r="F24" s="14">
        <v>159.09120000000001</v>
      </c>
      <c r="G24" s="31">
        <f t="shared" si="0"/>
        <v>4760.008704000001</v>
      </c>
    </row>
    <row r="25" spans="2:7" ht="24">
      <c r="B25" s="26">
        <v>21</v>
      </c>
      <c r="C25" s="7" t="s">
        <v>221</v>
      </c>
      <c r="D25" s="7" t="s">
        <v>201</v>
      </c>
      <c r="E25" s="12">
        <v>4.2</v>
      </c>
      <c r="F25" s="14">
        <v>183.4048</v>
      </c>
      <c r="G25" s="31">
        <f t="shared" si="0"/>
        <v>770.30016</v>
      </c>
    </row>
    <row r="26" spans="2:7" ht="24">
      <c r="B26" s="26">
        <v>22</v>
      </c>
      <c r="C26" s="7" t="s">
        <v>222</v>
      </c>
      <c r="D26" s="7" t="s">
        <v>201</v>
      </c>
      <c r="E26" s="12">
        <v>5.2</v>
      </c>
      <c r="F26" s="14">
        <v>256.1664</v>
      </c>
      <c r="G26" s="31">
        <f t="shared" si="0"/>
        <v>1332.06528</v>
      </c>
    </row>
    <row r="27" spans="2:7" ht="12">
      <c r="B27" s="26">
        <v>23</v>
      </c>
      <c r="C27" s="7" t="s">
        <v>223</v>
      </c>
      <c r="D27" s="7" t="s">
        <v>201</v>
      </c>
      <c r="E27" s="12">
        <v>140.4</v>
      </c>
      <c r="F27" s="14">
        <v>118.90559999999999</v>
      </c>
      <c r="G27" s="31">
        <f t="shared" si="0"/>
        <v>16694.34624</v>
      </c>
    </row>
    <row r="28" spans="2:7" ht="12">
      <c r="B28" s="26">
        <v>24</v>
      </c>
      <c r="C28" s="7" t="s">
        <v>224</v>
      </c>
      <c r="D28" s="7" t="s">
        <v>201</v>
      </c>
      <c r="E28" s="12">
        <v>6.86</v>
      </c>
      <c r="F28" s="14">
        <v>141.06879999999998</v>
      </c>
      <c r="G28" s="31">
        <f t="shared" si="0"/>
        <v>967.7319679999999</v>
      </c>
    </row>
    <row r="29" spans="2:7" ht="12">
      <c r="B29" s="26">
        <v>25</v>
      </c>
      <c r="C29" s="7" t="s">
        <v>225</v>
      </c>
      <c r="D29" s="7" t="s">
        <v>201</v>
      </c>
      <c r="E29" s="12">
        <v>2.96</v>
      </c>
      <c r="F29" s="14">
        <v>159.09120000000001</v>
      </c>
      <c r="G29" s="31">
        <f t="shared" si="0"/>
        <v>470.90995200000003</v>
      </c>
    </row>
    <row r="30" spans="2:7" ht="12">
      <c r="B30" s="26">
        <v>26</v>
      </c>
      <c r="C30" s="7" t="s">
        <v>226</v>
      </c>
      <c r="D30" s="7" t="s">
        <v>201</v>
      </c>
      <c r="E30" s="12">
        <v>4.46</v>
      </c>
      <c r="F30" s="14">
        <v>183.4048</v>
      </c>
      <c r="G30" s="31">
        <f t="shared" si="0"/>
        <v>817.985408</v>
      </c>
    </row>
    <row r="31" spans="2:7" ht="24">
      <c r="B31" s="26">
        <v>27</v>
      </c>
      <c r="C31" s="7" t="s">
        <v>227</v>
      </c>
      <c r="D31" s="7" t="s">
        <v>201</v>
      </c>
      <c r="E31" s="12">
        <v>1365.83718333</v>
      </c>
      <c r="F31" s="14">
        <v>128.99200000000002</v>
      </c>
      <c r="G31" s="31">
        <f t="shared" si="0"/>
        <v>176182.0699521034</v>
      </c>
    </row>
    <row r="32" spans="2:7" ht="24">
      <c r="B32" s="26">
        <v>28</v>
      </c>
      <c r="C32" s="7" t="s">
        <v>228</v>
      </c>
      <c r="D32" s="7" t="s">
        <v>201</v>
      </c>
      <c r="E32" s="12">
        <v>0.6445</v>
      </c>
      <c r="F32" s="14">
        <v>141.06879999999998</v>
      </c>
      <c r="G32" s="31">
        <f t="shared" si="0"/>
        <v>90.91884159999998</v>
      </c>
    </row>
    <row r="33" spans="2:7" ht="24">
      <c r="B33" s="26">
        <v>29</v>
      </c>
      <c r="C33" s="7" t="s">
        <v>229</v>
      </c>
      <c r="D33" s="7" t="s">
        <v>201</v>
      </c>
      <c r="E33" s="12">
        <v>11.84</v>
      </c>
      <c r="F33" s="14">
        <v>159.09120000000001</v>
      </c>
      <c r="G33" s="31">
        <f t="shared" si="0"/>
        <v>1883.6398080000001</v>
      </c>
    </row>
    <row r="34" spans="2:7" ht="24">
      <c r="B34" s="26">
        <v>30</v>
      </c>
      <c r="C34" s="7" t="s">
        <v>230</v>
      </c>
      <c r="D34" s="7" t="s">
        <v>201</v>
      </c>
      <c r="E34" s="12">
        <v>5.76</v>
      </c>
      <c r="F34" s="14">
        <v>141.06879999999998</v>
      </c>
      <c r="G34" s="31">
        <f t="shared" si="0"/>
        <v>812.5562879999999</v>
      </c>
    </row>
    <row r="35" spans="2:7" ht="24">
      <c r="B35" s="26">
        <v>31</v>
      </c>
      <c r="C35" s="7" t="s">
        <v>231</v>
      </c>
      <c r="D35" s="7" t="s">
        <v>201</v>
      </c>
      <c r="E35" s="12">
        <v>14.705</v>
      </c>
      <c r="F35" s="14">
        <v>128.99200000000002</v>
      </c>
      <c r="G35" s="31">
        <f t="shared" si="0"/>
        <v>1896.8273600000002</v>
      </c>
    </row>
    <row r="36" spans="2:7" ht="24">
      <c r="B36" s="26">
        <v>32</v>
      </c>
      <c r="C36" s="7" t="s">
        <v>232</v>
      </c>
      <c r="D36" s="7" t="s">
        <v>201</v>
      </c>
      <c r="E36" s="12">
        <v>14.705</v>
      </c>
      <c r="F36" s="14">
        <v>141.06879999999998</v>
      </c>
      <c r="G36" s="31">
        <f t="shared" si="0"/>
        <v>2074.4167039999998</v>
      </c>
    </row>
    <row r="37" spans="2:7" ht="24">
      <c r="B37" s="26">
        <v>33</v>
      </c>
      <c r="C37" s="7" t="s">
        <v>233</v>
      </c>
      <c r="D37" s="7" t="s">
        <v>201</v>
      </c>
      <c r="E37" s="12">
        <v>60.70086</v>
      </c>
      <c r="F37" s="14">
        <v>159.09120000000001</v>
      </c>
      <c r="G37" s="31">
        <f aca="true" t="shared" si="1" ref="G37:G68">E37*F37</f>
        <v>9656.972658432001</v>
      </c>
    </row>
    <row r="38" spans="2:7" ht="12">
      <c r="B38" s="26">
        <v>34</v>
      </c>
      <c r="C38" s="7" t="s">
        <v>234</v>
      </c>
      <c r="D38" s="7" t="s">
        <v>201</v>
      </c>
      <c r="E38" s="12">
        <v>16.8</v>
      </c>
      <c r="F38" s="14">
        <v>141.06879999999998</v>
      </c>
      <c r="G38" s="31">
        <f t="shared" si="1"/>
        <v>2369.9558399999996</v>
      </c>
    </row>
    <row r="39" spans="2:7" ht="12">
      <c r="B39" s="26">
        <v>35</v>
      </c>
      <c r="C39" s="7" t="s">
        <v>235</v>
      </c>
      <c r="D39" s="7" t="s">
        <v>201</v>
      </c>
      <c r="E39" s="12">
        <v>7.2</v>
      </c>
      <c r="F39" s="14">
        <v>128.99200000000002</v>
      </c>
      <c r="G39" s="31">
        <f t="shared" si="1"/>
        <v>928.7424000000002</v>
      </c>
    </row>
    <row r="40" spans="2:7" ht="12">
      <c r="B40" s="26">
        <v>36</v>
      </c>
      <c r="C40" s="7" t="s">
        <v>236</v>
      </c>
      <c r="D40" s="7" t="s">
        <v>201</v>
      </c>
      <c r="E40" s="12">
        <v>138.717</v>
      </c>
      <c r="F40" s="14">
        <v>141.06879999999998</v>
      </c>
      <c r="G40" s="31">
        <f t="shared" si="1"/>
        <v>19568.6407296</v>
      </c>
    </row>
    <row r="41" spans="2:7" ht="12">
      <c r="B41" s="26">
        <v>37</v>
      </c>
      <c r="C41" s="7" t="s">
        <v>237</v>
      </c>
      <c r="D41" s="7" t="s">
        <v>201</v>
      </c>
      <c r="E41" s="12">
        <v>292.58652</v>
      </c>
      <c r="F41" s="14">
        <v>159.09120000000001</v>
      </c>
      <c r="G41" s="31">
        <f t="shared" si="1"/>
        <v>46547.94057062401</v>
      </c>
    </row>
    <row r="42" spans="2:7" ht="12">
      <c r="B42" s="26">
        <v>38</v>
      </c>
      <c r="C42" s="7" t="s">
        <v>238</v>
      </c>
      <c r="D42" s="7" t="s">
        <v>201</v>
      </c>
      <c r="E42" s="12">
        <v>110.592</v>
      </c>
      <c r="F42" s="14">
        <v>183.4048</v>
      </c>
      <c r="G42" s="31">
        <f t="shared" si="1"/>
        <v>20283.1036416</v>
      </c>
    </row>
    <row r="43" spans="2:7" ht="12">
      <c r="B43" s="26">
        <v>39</v>
      </c>
      <c r="C43" s="7" t="s">
        <v>239</v>
      </c>
      <c r="D43" s="7" t="s">
        <v>201</v>
      </c>
      <c r="E43" s="12">
        <v>110.592</v>
      </c>
      <c r="F43" s="14">
        <v>213.66400000000002</v>
      </c>
      <c r="G43" s="31">
        <f t="shared" si="1"/>
        <v>23629.529088000003</v>
      </c>
    </row>
    <row r="44" spans="2:7" ht="12">
      <c r="B44" s="26">
        <v>40</v>
      </c>
      <c r="C44" s="7" t="s">
        <v>240</v>
      </c>
      <c r="D44" s="7" t="s">
        <v>201</v>
      </c>
      <c r="E44" s="12">
        <v>5.36</v>
      </c>
      <c r="F44" s="14">
        <v>128.99200000000002</v>
      </c>
      <c r="G44" s="31">
        <f t="shared" si="1"/>
        <v>691.3971200000001</v>
      </c>
    </row>
    <row r="45" spans="2:7" ht="12">
      <c r="B45" s="26">
        <v>41</v>
      </c>
      <c r="C45" s="7" t="s">
        <v>241</v>
      </c>
      <c r="D45" s="7" t="s">
        <v>201</v>
      </c>
      <c r="E45" s="12">
        <v>8.04</v>
      </c>
      <c r="F45" s="14">
        <v>141.06879999999998</v>
      </c>
      <c r="G45" s="31">
        <f t="shared" si="1"/>
        <v>1134.1931519999998</v>
      </c>
    </row>
    <row r="46" spans="2:7" ht="12">
      <c r="B46" s="26">
        <v>42</v>
      </c>
      <c r="C46" s="7" t="s">
        <v>242</v>
      </c>
      <c r="D46" s="7" t="s">
        <v>201</v>
      </c>
      <c r="E46" s="12">
        <v>6.06</v>
      </c>
      <c r="F46" s="14">
        <v>159.09120000000001</v>
      </c>
      <c r="G46" s="31">
        <f t="shared" si="1"/>
        <v>964.092672</v>
      </c>
    </row>
    <row r="47" spans="2:7" ht="12">
      <c r="B47" s="26">
        <v>43</v>
      </c>
      <c r="C47" s="7" t="s">
        <v>243</v>
      </c>
      <c r="D47" s="7" t="s">
        <v>201</v>
      </c>
      <c r="E47" s="12">
        <v>13.26</v>
      </c>
      <c r="F47" s="14">
        <v>159.09120000000001</v>
      </c>
      <c r="G47" s="31">
        <f t="shared" si="1"/>
        <v>2109.549312</v>
      </c>
    </row>
    <row r="48" spans="2:7" ht="12">
      <c r="B48" s="26">
        <v>44</v>
      </c>
      <c r="C48" s="7" t="s">
        <v>244</v>
      </c>
      <c r="D48" s="7" t="s">
        <v>201</v>
      </c>
      <c r="E48" s="12">
        <v>18.408</v>
      </c>
      <c r="F48" s="14">
        <v>141.06879999999998</v>
      </c>
      <c r="G48" s="31">
        <f t="shared" si="1"/>
        <v>2596.7944703999997</v>
      </c>
    </row>
    <row r="49" spans="2:7" ht="12">
      <c r="B49" s="26">
        <v>45</v>
      </c>
      <c r="C49" s="7" t="s">
        <v>245</v>
      </c>
      <c r="D49" s="7" t="s">
        <v>201</v>
      </c>
      <c r="E49" s="12">
        <v>3.77</v>
      </c>
      <c r="F49" s="14">
        <v>159.09120000000001</v>
      </c>
      <c r="G49" s="31">
        <f t="shared" si="1"/>
        <v>599.7738240000001</v>
      </c>
    </row>
    <row r="50" spans="2:7" ht="24">
      <c r="B50" s="26">
        <v>46</v>
      </c>
      <c r="C50" s="7" t="s">
        <v>246</v>
      </c>
      <c r="D50" s="7" t="s">
        <v>247</v>
      </c>
      <c r="E50" s="12">
        <v>60.70086</v>
      </c>
      <c r="F50" s="14">
        <v>183.4048</v>
      </c>
      <c r="G50" s="31">
        <f t="shared" si="1"/>
        <v>11132.829088127999</v>
      </c>
    </row>
    <row r="51" spans="2:7" ht="24">
      <c r="B51" s="26">
        <v>47</v>
      </c>
      <c r="C51" s="7" t="s">
        <v>248</v>
      </c>
      <c r="D51" s="7" t="s">
        <v>201</v>
      </c>
      <c r="E51" s="12">
        <v>3.96</v>
      </c>
      <c r="F51" s="14">
        <v>128.99200000000002</v>
      </c>
      <c r="G51" s="31">
        <f t="shared" si="1"/>
        <v>510.8083200000001</v>
      </c>
    </row>
    <row r="52" spans="2:7" ht="24">
      <c r="B52" s="26">
        <v>48</v>
      </c>
      <c r="C52" s="7" t="s">
        <v>249</v>
      </c>
      <c r="D52" s="7" t="s">
        <v>201</v>
      </c>
      <c r="E52" s="12">
        <v>28.41</v>
      </c>
      <c r="F52" s="14">
        <v>141.06879999999998</v>
      </c>
      <c r="G52" s="31">
        <f t="shared" si="1"/>
        <v>4007.7646079999995</v>
      </c>
    </row>
    <row r="53" spans="2:7" ht="24">
      <c r="B53" s="26">
        <v>49</v>
      </c>
      <c r="C53" s="7" t="s">
        <v>250</v>
      </c>
      <c r="D53" s="7" t="s">
        <v>201</v>
      </c>
      <c r="E53" s="12">
        <v>7.23</v>
      </c>
      <c r="F53" s="14">
        <v>149.9968</v>
      </c>
      <c r="G53" s="31">
        <f t="shared" si="1"/>
        <v>1084.4768640000002</v>
      </c>
    </row>
    <row r="54" spans="2:7" ht="24">
      <c r="B54" s="26">
        <v>50</v>
      </c>
      <c r="C54" s="7" t="s">
        <v>251</v>
      </c>
      <c r="D54" s="7" t="s">
        <v>201</v>
      </c>
      <c r="E54" s="12">
        <v>75.7341933</v>
      </c>
      <c r="F54" s="14">
        <v>159.09120000000001</v>
      </c>
      <c r="G54" s="31">
        <f t="shared" si="1"/>
        <v>12048.64369312896</v>
      </c>
    </row>
    <row r="55" spans="2:7" ht="12">
      <c r="B55" s="51" t="s">
        <v>252</v>
      </c>
      <c r="C55" s="52"/>
      <c r="D55" s="52"/>
      <c r="E55" s="52"/>
      <c r="F55" s="53"/>
      <c r="G55" s="32">
        <f>SUM(G5:G54)</f>
        <v>443574.01027793635</v>
      </c>
    </row>
    <row r="56" spans="2:7" ht="16.5">
      <c r="B56" s="50" t="s">
        <v>253</v>
      </c>
      <c r="C56" s="50"/>
      <c r="D56" s="50"/>
      <c r="E56" s="50"/>
      <c r="F56" s="50"/>
      <c r="G56" s="50"/>
    </row>
    <row r="57" spans="2:7" ht="12">
      <c r="B57" s="25">
        <v>51</v>
      </c>
      <c r="C57" s="27" t="s">
        <v>254</v>
      </c>
      <c r="D57" s="27" t="s">
        <v>255</v>
      </c>
      <c r="E57" s="28">
        <v>5E-05</v>
      </c>
      <c r="F57" s="29">
        <v>74845.450758</v>
      </c>
      <c r="G57" s="30">
        <f aca="true" t="shared" si="2" ref="G57:G88">E57*F57</f>
        <v>3.7422725379000004</v>
      </c>
    </row>
    <row r="58" spans="2:7" ht="12">
      <c r="B58" s="26">
        <v>52</v>
      </c>
      <c r="C58" s="7" t="s">
        <v>256</v>
      </c>
      <c r="D58" s="7" t="s">
        <v>255</v>
      </c>
      <c r="E58" s="12">
        <v>0.00042</v>
      </c>
      <c r="F58" s="14">
        <v>72916.071698</v>
      </c>
      <c r="G58" s="31">
        <f t="shared" si="2"/>
        <v>30.62475011316</v>
      </c>
    </row>
    <row r="59" spans="2:7" ht="12">
      <c r="B59" s="26">
        <v>53</v>
      </c>
      <c r="C59" s="7" t="s">
        <v>257</v>
      </c>
      <c r="D59" s="7" t="s">
        <v>255</v>
      </c>
      <c r="E59" s="12">
        <v>0.0056</v>
      </c>
      <c r="F59" s="14">
        <v>93950.31852</v>
      </c>
      <c r="G59" s="31">
        <f t="shared" si="2"/>
        <v>526.121783712</v>
      </c>
    </row>
    <row r="60" spans="2:7" ht="12">
      <c r="B60" s="26">
        <v>54</v>
      </c>
      <c r="C60" s="7" t="s">
        <v>258</v>
      </c>
      <c r="D60" s="7" t="s">
        <v>259</v>
      </c>
      <c r="E60" s="12">
        <v>0.005</v>
      </c>
      <c r="F60" s="14">
        <v>6354.6658</v>
      </c>
      <c r="G60" s="31">
        <f t="shared" si="2"/>
        <v>31.773329</v>
      </c>
    </row>
    <row r="61" spans="2:7" ht="24">
      <c r="B61" s="26">
        <v>55</v>
      </c>
      <c r="C61" s="7" t="s">
        <v>260</v>
      </c>
      <c r="D61" s="7" t="s">
        <v>255</v>
      </c>
      <c r="E61" s="12">
        <v>0.0015</v>
      </c>
      <c r="F61" s="14">
        <v>130012.38406999999</v>
      </c>
      <c r="G61" s="31">
        <f t="shared" si="2"/>
        <v>195.018576105</v>
      </c>
    </row>
    <row r="62" spans="2:7" ht="12">
      <c r="B62" s="26">
        <v>56</v>
      </c>
      <c r="C62" s="7" t="s">
        <v>261</v>
      </c>
      <c r="D62" s="7" t="s">
        <v>262</v>
      </c>
      <c r="E62" s="12">
        <v>20</v>
      </c>
      <c r="F62" s="14">
        <v>182.521456</v>
      </c>
      <c r="G62" s="31">
        <f t="shared" si="2"/>
        <v>3650.42912</v>
      </c>
    </row>
    <row r="63" spans="2:7" ht="12">
      <c r="B63" s="26">
        <v>57</v>
      </c>
      <c r="C63" s="7" t="s">
        <v>263</v>
      </c>
      <c r="D63" s="7" t="s">
        <v>262</v>
      </c>
      <c r="E63" s="12">
        <v>20</v>
      </c>
      <c r="F63" s="14">
        <v>330.940086</v>
      </c>
      <c r="G63" s="31">
        <f t="shared" si="2"/>
        <v>6618.80172</v>
      </c>
    </row>
    <row r="64" spans="2:7" ht="12">
      <c r="B64" s="26">
        <v>58</v>
      </c>
      <c r="C64" s="7" t="s">
        <v>264</v>
      </c>
      <c r="D64" s="7" t="s">
        <v>262</v>
      </c>
      <c r="E64" s="12">
        <v>1</v>
      </c>
      <c r="F64" s="14">
        <v>689.076576</v>
      </c>
      <c r="G64" s="31">
        <f t="shared" si="2"/>
        <v>689.076576</v>
      </c>
    </row>
    <row r="65" spans="2:7" ht="12">
      <c r="B65" s="26">
        <v>59</v>
      </c>
      <c r="C65" s="7" t="s">
        <v>265</v>
      </c>
      <c r="D65" s="7" t="s">
        <v>266</v>
      </c>
      <c r="E65" s="12">
        <v>5.01625</v>
      </c>
      <c r="F65" s="14">
        <v>32.32256</v>
      </c>
      <c r="G65" s="31">
        <f t="shared" si="2"/>
        <v>162.13804160000004</v>
      </c>
    </row>
    <row r="66" spans="2:7" ht="12">
      <c r="B66" s="26">
        <v>60</v>
      </c>
      <c r="C66" s="7" t="s">
        <v>267</v>
      </c>
      <c r="D66" s="7" t="s">
        <v>255</v>
      </c>
      <c r="E66" s="12">
        <v>0.0004</v>
      </c>
      <c r="F66" s="14">
        <v>265857.361466</v>
      </c>
      <c r="G66" s="31">
        <f t="shared" si="2"/>
        <v>106.3429445864</v>
      </c>
    </row>
    <row r="67" spans="2:7" ht="12">
      <c r="B67" s="26">
        <v>61</v>
      </c>
      <c r="C67" s="7" t="s">
        <v>268</v>
      </c>
      <c r="D67" s="7" t="s">
        <v>259</v>
      </c>
      <c r="E67" s="12">
        <v>395.09435</v>
      </c>
      <c r="F67" s="14">
        <v>0</v>
      </c>
      <c r="G67" s="31">
        <f t="shared" si="2"/>
        <v>0</v>
      </c>
    </row>
    <row r="68" spans="2:7" ht="12">
      <c r="B68" s="26">
        <v>62</v>
      </c>
      <c r="C68" s="7" t="s">
        <v>269</v>
      </c>
      <c r="D68" s="7" t="s">
        <v>270</v>
      </c>
      <c r="E68" s="12">
        <v>9.9246</v>
      </c>
      <c r="F68" s="14">
        <v>331.571386</v>
      </c>
      <c r="G68" s="31">
        <f t="shared" si="2"/>
        <v>3290.7133774956</v>
      </c>
    </row>
    <row r="69" spans="2:7" ht="12">
      <c r="B69" s="26">
        <v>63</v>
      </c>
      <c r="C69" s="7" t="s">
        <v>271</v>
      </c>
      <c r="D69" s="7" t="s">
        <v>262</v>
      </c>
      <c r="E69" s="12">
        <v>1.83</v>
      </c>
      <c r="F69" s="14">
        <v>69.973292</v>
      </c>
      <c r="G69" s="31">
        <f t="shared" si="2"/>
        <v>128.05112436000002</v>
      </c>
    </row>
    <row r="70" spans="2:7" ht="12">
      <c r="B70" s="26">
        <v>64</v>
      </c>
      <c r="C70" s="7" t="s">
        <v>272</v>
      </c>
      <c r="D70" s="7" t="s">
        <v>262</v>
      </c>
      <c r="E70" s="12">
        <v>5</v>
      </c>
      <c r="F70" s="14">
        <v>3042.2347</v>
      </c>
      <c r="G70" s="31">
        <f t="shared" si="2"/>
        <v>15211.1735</v>
      </c>
    </row>
    <row r="71" spans="2:7" ht="12">
      <c r="B71" s="26">
        <v>65</v>
      </c>
      <c r="C71" s="7" t="s">
        <v>273</v>
      </c>
      <c r="D71" s="7" t="s">
        <v>274</v>
      </c>
      <c r="E71" s="12">
        <v>3</v>
      </c>
      <c r="F71" s="14">
        <v>748.835434</v>
      </c>
      <c r="G71" s="31">
        <f t="shared" si="2"/>
        <v>2246.506302</v>
      </c>
    </row>
    <row r="72" spans="2:7" ht="12">
      <c r="B72" s="26">
        <v>66</v>
      </c>
      <c r="C72" s="7" t="s">
        <v>275</v>
      </c>
      <c r="D72" s="7" t="s">
        <v>255</v>
      </c>
      <c r="E72" s="12">
        <v>0.00018</v>
      </c>
      <c r="F72" s="14">
        <v>70625.033494</v>
      </c>
      <c r="G72" s="31">
        <f t="shared" si="2"/>
        <v>12.712506028920002</v>
      </c>
    </row>
    <row r="73" spans="2:7" ht="12">
      <c r="B73" s="26">
        <v>67</v>
      </c>
      <c r="C73" s="7" t="s">
        <v>276</v>
      </c>
      <c r="D73" s="7" t="s">
        <v>255</v>
      </c>
      <c r="E73" s="12">
        <v>7E-06</v>
      </c>
      <c r="F73" s="14">
        <v>72592.454692</v>
      </c>
      <c r="G73" s="31">
        <f t="shared" si="2"/>
        <v>0.508147182844</v>
      </c>
    </row>
    <row r="74" spans="2:7" ht="12">
      <c r="B74" s="26">
        <v>68</v>
      </c>
      <c r="C74" s="7" t="s">
        <v>277</v>
      </c>
      <c r="D74" s="7" t="s">
        <v>255</v>
      </c>
      <c r="E74" s="12">
        <v>8E-05</v>
      </c>
      <c r="F74" s="14">
        <v>75399.37863</v>
      </c>
      <c r="G74" s="31">
        <f t="shared" si="2"/>
        <v>6.031950290400001</v>
      </c>
    </row>
    <row r="75" spans="2:7" ht="12">
      <c r="B75" s="26">
        <v>69</v>
      </c>
      <c r="C75" s="7" t="s">
        <v>278</v>
      </c>
      <c r="D75" s="7" t="s">
        <v>266</v>
      </c>
      <c r="E75" s="12">
        <v>0.209</v>
      </c>
      <c r="F75" s="14">
        <v>442.377162</v>
      </c>
      <c r="G75" s="31">
        <f t="shared" si="2"/>
        <v>92.456826858</v>
      </c>
    </row>
    <row r="76" spans="2:7" ht="12">
      <c r="B76" s="26">
        <v>70</v>
      </c>
      <c r="C76" s="7" t="s">
        <v>279</v>
      </c>
      <c r="D76" s="7" t="s">
        <v>255</v>
      </c>
      <c r="E76" s="12">
        <v>0.0616</v>
      </c>
      <c r="F76" s="14">
        <v>6885.27345</v>
      </c>
      <c r="G76" s="31">
        <f t="shared" si="2"/>
        <v>424.13284452</v>
      </c>
    </row>
    <row r="77" spans="2:7" ht="12">
      <c r="B77" s="26">
        <v>71</v>
      </c>
      <c r="C77" s="7" t="s">
        <v>280</v>
      </c>
      <c r="D77" s="7" t="s">
        <v>266</v>
      </c>
      <c r="E77" s="12">
        <v>2.353</v>
      </c>
      <c r="F77" s="14">
        <v>79.46804399999999</v>
      </c>
      <c r="G77" s="31">
        <f t="shared" si="2"/>
        <v>186.988307532</v>
      </c>
    </row>
    <row r="78" spans="2:7" ht="12">
      <c r="B78" s="26">
        <v>72</v>
      </c>
      <c r="C78" s="7" t="s">
        <v>281</v>
      </c>
      <c r="D78" s="7" t="s">
        <v>259</v>
      </c>
      <c r="E78" s="12">
        <v>0.24</v>
      </c>
      <c r="F78" s="14">
        <v>1414.591788</v>
      </c>
      <c r="G78" s="31">
        <f t="shared" si="2"/>
        <v>339.50202912</v>
      </c>
    </row>
    <row r="79" spans="2:7" ht="12">
      <c r="B79" s="26">
        <v>73</v>
      </c>
      <c r="C79" s="7" t="s">
        <v>282</v>
      </c>
      <c r="D79" s="7" t="s">
        <v>262</v>
      </c>
      <c r="E79" s="12">
        <v>5</v>
      </c>
      <c r="F79" s="14">
        <v>638.7872179999999</v>
      </c>
      <c r="G79" s="31">
        <f t="shared" si="2"/>
        <v>3193.9360899999997</v>
      </c>
    </row>
    <row r="80" spans="2:7" ht="12">
      <c r="B80" s="26">
        <v>74</v>
      </c>
      <c r="C80" s="7" t="s">
        <v>283</v>
      </c>
      <c r="D80" s="7" t="s">
        <v>266</v>
      </c>
      <c r="E80" s="12">
        <v>0.168125</v>
      </c>
      <c r="F80" s="14">
        <v>104.11399599999999</v>
      </c>
      <c r="G80" s="31">
        <f t="shared" si="2"/>
        <v>17.504165577499997</v>
      </c>
    </row>
    <row r="81" spans="2:7" ht="12">
      <c r="B81" s="26">
        <v>75</v>
      </c>
      <c r="C81" s="7" t="s">
        <v>284</v>
      </c>
      <c r="D81" s="7" t="s">
        <v>255</v>
      </c>
      <c r="E81" s="12">
        <v>6.9E-05</v>
      </c>
      <c r="F81" s="14">
        <v>4528.264396</v>
      </c>
      <c r="G81" s="31">
        <f t="shared" si="2"/>
        <v>0.31245024332399995</v>
      </c>
    </row>
    <row r="82" spans="2:7" ht="12">
      <c r="B82" s="26">
        <v>76</v>
      </c>
      <c r="C82" s="7" t="s">
        <v>285</v>
      </c>
      <c r="D82" s="7" t="s">
        <v>266</v>
      </c>
      <c r="E82" s="12">
        <v>0.55952</v>
      </c>
      <c r="F82" s="14">
        <v>944.412174</v>
      </c>
      <c r="G82" s="31">
        <f t="shared" si="2"/>
        <v>528.4174995964801</v>
      </c>
    </row>
    <row r="83" spans="2:7" ht="12">
      <c r="B83" s="26">
        <v>77</v>
      </c>
      <c r="C83" s="7" t="s">
        <v>286</v>
      </c>
      <c r="D83" s="7" t="s">
        <v>255</v>
      </c>
      <c r="E83" s="12">
        <v>6.9E-05</v>
      </c>
      <c r="F83" s="14">
        <v>262424.869732</v>
      </c>
      <c r="G83" s="31">
        <f t="shared" si="2"/>
        <v>18.107316011507997</v>
      </c>
    </row>
    <row r="84" spans="2:7" ht="12">
      <c r="B84" s="26">
        <v>78</v>
      </c>
      <c r="C84" s="7" t="s">
        <v>287</v>
      </c>
      <c r="D84" s="7" t="s">
        <v>255</v>
      </c>
      <c r="E84" s="12">
        <v>0.002977</v>
      </c>
      <c r="F84" s="14">
        <v>66448.23905999999</v>
      </c>
      <c r="G84" s="31">
        <f t="shared" si="2"/>
        <v>197.81640768161998</v>
      </c>
    </row>
    <row r="85" spans="2:7" ht="12">
      <c r="B85" s="26">
        <v>79</v>
      </c>
      <c r="C85" s="7" t="s">
        <v>288</v>
      </c>
      <c r="D85" s="7" t="s">
        <v>255</v>
      </c>
      <c r="E85" s="12">
        <v>0.000624</v>
      </c>
      <c r="F85" s="14">
        <v>98898.397416</v>
      </c>
      <c r="G85" s="31">
        <f t="shared" si="2"/>
        <v>61.71259998758401</v>
      </c>
    </row>
    <row r="86" spans="2:7" ht="24">
      <c r="B86" s="26">
        <v>80</v>
      </c>
      <c r="C86" s="7" t="s">
        <v>289</v>
      </c>
      <c r="D86" s="7" t="s">
        <v>255</v>
      </c>
      <c r="E86" s="12">
        <v>0.0221</v>
      </c>
      <c r="F86" s="14">
        <v>82216.08027399999</v>
      </c>
      <c r="G86" s="31">
        <f t="shared" si="2"/>
        <v>1816.9753740554</v>
      </c>
    </row>
    <row r="87" spans="2:7" ht="12">
      <c r="B87" s="26">
        <v>81</v>
      </c>
      <c r="C87" s="7" t="s">
        <v>290</v>
      </c>
      <c r="D87" s="7" t="s">
        <v>255</v>
      </c>
      <c r="E87" s="12">
        <v>0.00051</v>
      </c>
      <c r="F87" s="14">
        <v>54106.538702</v>
      </c>
      <c r="G87" s="31">
        <f t="shared" si="2"/>
        <v>27.594334738020002</v>
      </c>
    </row>
    <row r="88" spans="2:7" ht="12">
      <c r="B88" s="26">
        <v>82</v>
      </c>
      <c r="C88" s="7" t="s">
        <v>291</v>
      </c>
      <c r="D88" s="7" t="s">
        <v>262</v>
      </c>
      <c r="E88" s="12">
        <v>200</v>
      </c>
      <c r="F88" s="14">
        <v>236.21983400000002</v>
      </c>
      <c r="G88" s="31">
        <f t="shared" si="2"/>
        <v>47243.9668</v>
      </c>
    </row>
    <row r="89" spans="2:7" ht="24">
      <c r="B89" s="26">
        <v>83</v>
      </c>
      <c r="C89" s="7" t="s">
        <v>292</v>
      </c>
      <c r="D89" s="7" t="s">
        <v>266</v>
      </c>
      <c r="E89" s="12">
        <v>3</v>
      </c>
      <c r="F89" s="14">
        <v>142.749556</v>
      </c>
      <c r="G89" s="31">
        <f aca="true" t="shared" si="3" ref="G89:G120">E89*F89</f>
        <v>428.24866800000007</v>
      </c>
    </row>
    <row r="90" spans="2:7" ht="12">
      <c r="B90" s="26">
        <v>84</v>
      </c>
      <c r="C90" s="7" t="s">
        <v>293</v>
      </c>
      <c r="D90" s="7" t="s">
        <v>266</v>
      </c>
      <c r="E90" s="12">
        <v>0.06725</v>
      </c>
      <c r="F90" s="14">
        <v>112.573416</v>
      </c>
      <c r="G90" s="31">
        <f t="shared" si="3"/>
        <v>7.570562226</v>
      </c>
    </row>
    <row r="91" spans="2:7" ht="12">
      <c r="B91" s="26">
        <v>85</v>
      </c>
      <c r="C91" s="7" t="s">
        <v>294</v>
      </c>
      <c r="D91" s="7" t="s">
        <v>255</v>
      </c>
      <c r="E91" s="12">
        <v>0.24145</v>
      </c>
      <c r="F91" s="14">
        <v>33226.556348</v>
      </c>
      <c r="G91" s="31">
        <f t="shared" si="3"/>
        <v>8022.5520302246</v>
      </c>
    </row>
    <row r="92" spans="2:7" ht="12">
      <c r="B92" s="26">
        <v>86</v>
      </c>
      <c r="C92" s="7" t="s">
        <v>295</v>
      </c>
      <c r="D92" s="7" t="s">
        <v>255</v>
      </c>
      <c r="E92" s="12">
        <v>0.0146</v>
      </c>
      <c r="F92" s="14">
        <v>71813.392614</v>
      </c>
      <c r="G92" s="31">
        <f t="shared" si="3"/>
        <v>1048.4755321644</v>
      </c>
    </row>
    <row r="93" spans="2:7" ht="12">
      <c r="B93" s="26">
        <v>87</v>
      </c>
      <c r="C93" s="7" t="s">
        <v>296</v>
      </c>
      <c r="D93" s="7" t="s">
        <v>297</v>
      </c>
      <c r="E93" s="12">
        <v>0.096356</v>
      </c>
      <c r="F93" s="14">
        <v>4785.3550079999995</v>
      </c>
      <c r="G93" s="31">
        <f t="shared" si="3"/>
        <v>461.09766715084794</v>
      </c>
    </row>
    <row r="94" spans="2:7" ht="12">
      <c r="B94" s="26">
        <v>88</v>
      </c>
      <c r="C94" s="7" t="s">
        <v>298</v>
      </c>
      <c r="D94" s="7" t="s">
        <v>266</v>
      </c>
      <c r="E94" s="12">
        <v>35.767</v>
      </c>
      <c r="F94" s="14">
        <v>352.45478999999995</v>
      </c>
      <c r="G94" s="31">
        <f t="shared" si="3"/>
        <v>12606.250473929998</v>
      </c>
    </row>
    <row r="95" spans="2:7" ht="12">
      <c r="B95" s="26">
        <v>89</v>
      </c>
      <c r="C95" s="7" t="s">
        <v>299</v>
      </c>
      <c r="D95" s="7" t="s">
        <v>266</v>
      </c>
      <c r="E95" s="12">
        <v>0.705</v>
      </c>
      <c r="F95" s="14">
        <v>71.450534</v>
      </c>
      <c r="G95" s="31">
        <f t="shared" si="3"/>
        <v>50.37262647</v>
      </c>
    </row>
    <row r="96" spans="2:7" ht="12">
      <c r="B96" s="26">
        <v>90</v>
      </c>
      <c r="C96" s="7" t="s">
        <v>300</v>
      </c>
      <c r="D96" s="7" t="s">
        <v>262</v>
      </c>
      <c r="E96" s="12">
        <v>0.18</v>
      </c>
      <c r="F96" s="14">
        <v>10.517458</v>
      </c>
      <c r="G96" s="31">
        <f t="shared" si="3"/>
        <v>1.8931424399999999</v>
      </c>
    </row>
    <row r="97" spans="2:7" ht="12">
      <c r="B97" s="26">
        <v>91</v>
      </c>
      <c r="C97" s="7" t="s">
        <v>301</v>
      </c>
      <c r="D97" s="7" t="s">
        <v>302</v>
      </c>
      <c r="E97" s="12">
        <v>137.5</v>
      </c>
      <c r="F97" s="14">
        <v>4.04032</v>
      </c>
      <c r="G97" s="31">
        <f t="shared" si="3"/>
        <v>555.5440000000001</v>
      </c>
    </row>
    <row r="98" spans="2:7" ht="12">
      <c r="B98" s="26">
        <v>92</v>
      </c>
      <c r="C98" s="7" t="s">
        <v>303</v>
      </c>
      <c r="D98" s="7" t="s">
        <v>304</v>
      </c>
      <c r="E98" s="12">
        <v>6.78</v>
      </c>
      <c r="F98" s="14">
        <v>62.385065999999995</v>
      </c>
      <c r="G98" s="31">
        <f t="shared" si="3"/>
        <v>422.97074748</v>
      </c>
    </row>
    <row r="99" spans="2:7" ht="12">
      <c r="B99" s="26">
        <v>93</v>
      </c>
      <c r="C99" s="7" t="s">
        <v>305</v>
      </c>
      <c r="D99" s="7" t="s">
        <v>255</v>
      </c>
      <c r="E99" s="12">
        <v>0.001637</v>
      </c>
      <c r="F99" s="14">
        <v>50763.552682</v>
      </c>
      <c r="G99" s="31">
        <f t="shared" si="3"/>
        <v>83.099935740434</v>
      </c>
    </row>
    <row r="100" spans="2:7" ht="12">
      <c r="B100" s="26">
        <v>94</v>
      </c>
      <c r="C100" s="7" t="s">
        <v>306</v>
      </c>
      <c r="D100" s="7" t="s">
        <v>266</v>
      </c>
      <c r="E100" s="12">
        <v>0.821</v>
      </c>
      <c r="F100" s="14">
        <v>217.11669600000002</v>
      </c>
      <c r="G100" s="31">
        <f t="shared" si="3"/>
        <v>178.252807416</v>
      </c>
    </row>
    <row r="101" spans="2:7" ht="12">
      <c r="B101" s="26">
        <v>95</v>
      </c>
      <c r="C101" s="7" t="s">
        <v>307</v>
      </c>
      <c r="D101" s="7" t="s">
        <v>259</v>
      </c>
      <c r="E101" s="12">
        <v>0.0525</v>
      </c>
      <c r="F101" s="14">
        <v>1316.2731259999998</v>
      </c>
      <c r="G101" s="31">
        <f t="shared" si="3"/>
        <v>69.10433911499999</v>
      </c>
    </row>
    <row r="102" spans="2:7" ht="12">
      <c r="B102" s="26">
        <v>96</v>
      </c>
      <c r="C102" s="7" t="s">
        <v>308</v>
      </c>
      <c r="D102" s="7" t="s">
        <v>266</v>
      </c>
      <c r="E102" s="12">
        <v>1.2848</v>
      </c>
      <c r="F102" s="14">
        <v>117.762702</v>
      </c>
      <c r="G102" s="31">
        <f t="shared" si="3"/>
        <v>151.3015195296</v>
      </c>
    </row>
    <row r="103" spans="2:7" ht="12">
      <c r="B103" s="26">
        <v>97</v>
      </c>
      <c r="C103" s="7" t="s">
        <v>309</v>
      </c>
      <c r="D103" s="7" t="s">
        <v>262</v>
      </c>
      <c r="E103" s="12">
        <v>5</v>
      </c>
      <c r="F103" s="14">
        <v>222.874152</v>
      </c>
      <c r="G103" s="31">
        <f t="shared" si="3"/>
        <v>1114.37076</v>
      </c>
    </row>
    <row r="104" spans="2:7" ht="12">
      <c r="B104" s="26">
        <v>98</v>
      </c>
      <c r="C104" s="7" t="s">
        <v>310</v>
      </c>
      <c r="D104" s="7" t="s">
        <v>266</v>
      </c>
      <c r="E104" s="12">
        <v>0.141</v>
      </c>
      <c r="F104" s="14">
        <v>124.21458799999999</v>
      </c>
      <c r="G104" s="31">
        <f t="shared" si="3"/>
        <v>17.514256907999997</v>
      </c>
    </row>
    <row r="105" spans="2:7" ht="12">
      <c r="B105" s="26">
        <v>99</v>
      </c>
      <c r="C105" s="7" t="s">
        <v>311</v>
      </c>
      <c r="D105" s="7" t="s">
        <v>255</v>
      </c>
      <c r="E105" s="12">
        <v>0.007455</v>
      </c>
      <c r="F105" s="14">
        <v>8958.235381999999</v>
      </c>
      <c r="G105" s="31">
        <f t="shared" si="3"/>
        <v>66.78364477280999</v>
      </c>
    </row>
    <row r="106" spans="2:7" ht="12">
      <c r="B106" s="26">
        <v>100</v>
      </c>
      <c r="C106" s="7" t="s">
        <v>312</v>
      </c>
      <c r="D106" s="7" t="s">
        <v>262</v>
      </c>
      <c r="E106" s="12">
        <v>10</v>
      </c>
      <c r="F106" s="14">
        <v>30.453912000000003</v>
      </c>
      <c r="G106" s="31">
        <f t="shared" si="3"/>
        <v>304.53912</v>
      </c>
    </row>
    <row r="107" spans="2:7" ht="24">
      <c r="B107" s="26">
        <v>101</v>
      </c>
      <c r="C107" s="7" t="s">
        <v>313</v>
      </c>
      <c r="D107" s="7" t="s">
        <v>259</v>
      </c>
      <c r="E107" s="12">
        <v>2.4E-05</v>
      </c>
      <c r="F107" s="14">
        <v>953.5028940000001</v>
      </c>
      <c r="G107" s="31">
        <f t="shared" si="3"/>
        <v>0.022884069456</v>
      </c>
    </row>
    <row r="108" spans="2:7" ht="12">
      <c r="B108" s="26">
        <v>102</v>
      </c>
      <c r="C108" s="7" t="s">
        <v>314</v>
      </c>
      <c r="D108" s="7" t="s">
        <v>255</v>
      </c>
      <c r="E108" s="12">
        <v>0.24</v>
      </c>
      <c r="F108" s="14">
        <v>44419.770494000004</v>
      </c>
      <c r="G108" s="31">
        <f t="shared" si="3"/>
        <v>10660.74491856</v>
      </c>
    </row>
    <row r="109" spans="2:7" ht="12">
      <c r="B109" s="26">
        <v>103</v>
      </c>
      <c r="C109" s="7" t="s">
        <v>315</v>
      </c>
      <c r="D109" s="7" t="s">
        <v>259</v>
      </c>
      <c r="E109" s="12">
        <v>0.065</v>
      </c>
      <c r="F109" s="14">
        <v>1904.1649380000001</v>
      </c>
      <c r="G109" s="31">
        <f t="shared" si="3"/>
        <v>123.77072097000001</v>
      </c>
    </row>
    <row r="110" spans="2:7" ht="12">
      <c r="B110" s="26">
        <v>104</v>
      </c>
      <c r="C110" s="7" t="s">
        <v>316</v>
      </c>
      <c r="D110" s="7" t="s">
        <v>262</v>
      </c>
      <c r="E110" s="12">
        <v>6</v>
      </c>
      <c r="F110" s="14">
        <v>21.110671999999997</v>
      </c>
      <c r="G110" s="31">
        <f t="shared" si="3"/>
        <v>126.66403199999999</v>
      </c>
    </row>
    <row r="111" spans="2:7" ht="12">
      <c r="B111" s="26">
        <v>105</v>
      </c>
      <c r="C111" s="7" t="s">
        <v>317</v>
      </c>
      <c r="D111" s="7" t="s">
        <v>266</v>
      </c>
      <c r="E111" s="12">
        <v>0.052</v>
      </c>
      <c r="F111" s="14">
        <v>259.32541399999997</v>
      </c>
      <c r="G111" s="31">
        <f t="shared" si="3"/>
        <v>13.484921527999997</v>
      </c>
    </row>
    <row r="112" spans="2:7" ht="12">
      <c r="B112" s="26">
        <v>106</v>
      </c>
      <c r="C112" s="7" t="s">
        <v>318</v>
      </c>
      <c r="D112" s="7" t="s">
        <v>270</v>
      </c>
      <c r="E112" s="12">
        <v>5.35</v>
      </c>
      <c r="F112" s="14">
        <v>2526.121698</v>
      </c>
      <c r="G112" s="31">
        <f t="shared" si="3"/>
        <v>13514.751084299998</v>
      </c>
    </row>
    <row r="113" spans="2:7" ht="12">
      <c r="B113" s="26">
        <v>107</v>
      </c>
      <c r="C113" s="7" t="s">
        <v>319</v>
      </c>
      <c r="D113" s="7" t="s">
        <v>274</v>
      </c>
      <c r="E113" s="12">
        <v>0.3</v>
      </c>
      <c r="F113" s="14">
        <v>10534.742994</v>
      </c>
      <c r="G113" s="31">
        <f t="shared" si="3"/>
        <v>3160.4228982</v>
      </c>
    </row>
    <row r="114" spans="2:7" ht="36">
      <c r="B114" s="26">
        <v>108</v>
      </c>
      <c r="C114" s="7" t="s">
        <v>320</v>
      </c>
      <c r="D114" s="7" t="s">
        <v>321</v>
      </c>
      <c r="E114" s="12">
        <v>0.0153</v>
      </c>
      <c r="F114" s="14">
        <v>12132.348652</v>
      </c>
      <c r="G114" s="31">
        <f t="shared" si="3"/>
        <v>185.6249343756</v>
      </c>
    </row>
    <row r="115" spans="2:7" ht="24">
      <c r="B115" s="26">
        <v>109</v>
      </c>
      <c r="C115" s="7" t="s">
        <v>322</v>
      </c>
      <c r="D115" s="7" t="s">
        <v>255</v>
      </c>
      <c r="E115" s="12">
        <v>0.0003264</v>
      </c>
      <c r="F115" s="14">
        <v>60165.453078</v>
      </c>
      <c r="G115" s="31">
        <f t="shared" si="3"/>
        <v>19.638003884659202</v>
      </c>
    </row>
    <row r="116" spans="2:7" ht="12">
      <c r="B116" s="26">
        <v>110</v>
      </c>
      <c r="C116" s="7" t="s">
        <v>323</v>
      </c>
      <c r="D116" s="7" t="s">
        <v>262</v>
      </c>
      <c r="E116" s="12">
        <v>6</v>
      </c>
      <c r="F116" s="14">
        <v>102.358982</v>
      </c>
      <c r="G116" s="31">
        <f t="shared" si="3"/>
        <v>614.153892</v>
      </c>
    </row>
    <row r="117" spans="2:7" ht="12">
      <c r="B117" s="26">
        <v>111</v>
      </c>
      <c r="C117" s="7" t="s">
        <v>324</v>
      </c>
      <c r="D117" s="7" t="s">
        <v>259</v>
      </c>
      <c r="E117" s="12">
        <v>0.151</v>
      </c>
      <c r="F117" s="14">
        <v>4020.572936</v>
      </c>
      <c r="G117" s="31">
        <f t="shared" si="3"/>
        <v>607.106513336</v>
      </c>
    </row>
    <row r="118" spans="2:7" ht="12">
      <c r="B118" s="26">
        <v>112</v>
      </c>
      <c r="C118" s="7" t="s">
        <v>325</v>
      </c>
      <c r="D118" s="7" t="s">
        <v>259</v>
      </c>
      <c r="E118" s="12">
        <v>0.001</v>
      </c>
      <c r="F118" s="14">
        <v>5610.855514000001</v>
      </c>
      <c r="G118" s="31">
        <f t="shared" si="3"/>
        <v>5.610855514000001</v>
      </c>
    </row>
    <row r="119" spans="2:7" ht="12">
      <c r="B119" s="26">
        <v>113</v>
      </c>
      <c r="C119" s="7" t="s">
        <v>326</v>
      </c>
      <c r="D119" s="7" t="s">
        <v>255</v>
      </c>
      <c r="E119" s="12">
        <v>0.0006</v>
      </c>
      <c r="F119" s="14">
        <v>83292.434148</v>
      </c>
      <c r="G119" s="31">
        <f t="shared" si="3"/>
        <v>49.975460488799996</v>
      </c>
    </row>
    <row r="120" spans="2:7" ht="12">
      <c r="B120" s="26">
        <v>114</v>
      </c>
      <c r="C120" s="7" t="s">
        <v>327</v>
      </c>
      <c r="D120" s="7" t="s">
        <v>259</v>
      </c>
      <c r="E120" s="12">
        <v>0.009</v>
      </c>
      <c r="F120" s="14">
        <v>2606.0190260000004</v>
      </c>
      <c r="G120" s="31">
        <f t="shared" si="3"/>
        <v>23.454171234</v>
      </c>
    </row>
    <row r="121" spans="2:7" ht="12">
      <c r="B121" s="26">
        <v>115</v>
      </c>
      <c r="C121" s="7" t="s">
        <v>328</v>
      </c>
      <c r="D121" s="7" t="s">
        <v>266</v>
      </c>
      <c r="E121" s="12">
        <v>0.6</v>
      </c>
      <c r="F121" s="14">
        <v>178.72103</v>
      </c>
      <c r="G121" s="31">
        <f aca="true" t="shared" si="4" ref="G121:G152">E121*F121</f>
        <v>107.232618</v>
      </c>
    </row>
    <row r="122" spans="2:7" ht="24">
      <c r="B122" s="26">
        <v>116</v>
      </c>
      <c r="C122" s="7" t="s">
        <v>329</v>
      </c>
      <c r="D122" s="7" t="s">
        <v>262</v>
      </c>
      <c r="E122" s="12">
        <v>20</v>
      </c>
      <c r="F122" s="14">
        <v>180.513922</v>
      </c>
      <c r="G122" s="31">
        <f t="shared" si="4"/>
        <v>3610.27844</v>
      </c>
    </row>
    <row r="123" spans="2:7" ht="12">
      <c r="B123" s="26">
        <v>117</v>
      </c>
      <c r="C123" s="7" t="s">
        <v>330</v>
      </c>
      <c r="D123" s="7" t="s">
        <v>270</v>
      </c>
      <c r="E123" s="12">
        <v>147</v>
      </c>
      <c r="F123" s="14">
        <v>23.459107999999997</v>
      </c>
      <c r="G123" s="31">
        <f t="shared" si="4"/>
        <v>3448.4888759999994</v>
      </c>
    </row>
    <row r="124" spans="2:7" ht="12">
      <c r="B124" s="26">
        <v>118</v>
      </c>
      <c r="C124" s="7" t="s">
        <v>331</v>
      </c>
      <c r="D124" s="7" t="s">
        <v>262</v>
      </c>
      <c r="E124" s="12">
        <v>1</v>
      </c>
      <c r="F124" s="14">
        <v>173.746386</v>
      </c>
      <c r="G124" s="31">
        <f t="shared" si="4"/>
        <v>173.746386</v>
      </c>
    </row>
    <row r="125" spans="2:7" ht="12">
      <c r="B125" s="26">
        <v>119</v>
      </c>
      <c r="C125" s="7" t="s">
        <v>332</v>
      </c>
      <c r="D125" s="7" t="s">
        <v>262</v>
      </c>
      <c r="E125" s="12">
        <v>6</v>
      </c>
      <c r="F125" s="14">
        <v>98.20502800000001</v>
      </c>
      <c r="G125" s="31">
        <f t="shared" si="4"/>
        <v>589.230168</v>
      </c>
    </row>
    <row r="126" spans="2:7" ht="12">
      <c r="B126" s="26">
        <v>120</v>
      </c>
      <c r="C126" s="7" t="s">
        <v>333</v>
      </c>
      <c r="D126" s="7" t="s">
        <v>21</v>
      </c>
      <c r="E126" s="12">
        <v>0.03</v>
      </c>
      <c r="F126" s="14">
        <v>369.487264</v>
      </c>
      <c r="G126" s="31">
        <f t="shared" si="4"/>
        <v>11.08461792</v>
      </c>
    </row>
    <row r="127" spans="2:7" ht="12">
      <c r="B127" s="26">
        <v>121</v>
      </c>
      <c r="C127" s="7" t="s">
        <v>334</v>
      </c>
      <c r="D127" s="7" t="s">
        <v>270</v>
      </c>
      <c r="E127" s="12">
        <v>0.277</v>
      </c>
      <c r="F127" s="14">
        <v>252.406366</v>
      </c>
      <c r="G127" s="31">
        <f t="shared" si="4"/>
        <v>69.916563382</v>
      </c>
    </row>
    <row r="128" spans="2:7" ht="12">
      <c r="B128" s="26">
        <v>122</v>
      </c>
      <c r="C128" s="7" t="s">
        <v>335</v>
      </c>
      <c r="D128" s="7" t="s">
        <v>21</v>
      </c>
      <c r="E128" s="12">
        <v>0.00915</v>
      </c>
      <c r="F128" s="14">
        <v>1867.802058</v>
      </c>
      <c r="G128" s="31">
        <f t="shared" si="4"/>
        <v>17.0903888307</v>
      </c>
    </row>
    <row r="129" spans="2:7" ht="12">
      <c r="B129" s="26">
        <v>123</v>
      </c>
      <c r="C129" s="7" t="s">
        <v>336</v>
      </c>
      <c r="D129" s="7" t="s">
        <v>255</v>
      </c>
      <c r="E129" s="12">
        <v>0.0005</v>
      </c>
      <c r="F129" s="14">
        <v>60793.836471999995</v>
      </c>
      <c r="G129" s="31">
        <f t="shared" si="4"/>
        <v>30.396918235999998</v>
      </c>
    </row>
    <row r="130" spans="2:7" ht="12">
      <c r="B130" s="26">
        <v>124</v>
      </c>
      <c r="C130" s="7" t="s">
        <v>337</v>
      </c>
      <c r="D130" s="7" t="s">
        <v>262</v>
      </c>
      <c r="E130" s="12">
        <v>0.72</v>
      </c>
      <c r="F130" s="14">
        <v>212.24305999999999</v>
      </c>
      <c r="G130" s="31">
        <f t="shared" si="4"/>
        <v>152.81500319999998</v>
      </c>
    </row>
    <row r="131" spans="2:7" ht="24">
      <c r="B131" s="26">
        <v>125</v>
      </c>
      <c r="C131" s="7" t="s">
        <v>338</v>
      </c>
      <c r="D131" s="7" t="s">
        <v>262</v>
      </c>
      <c r="E131" s="12">
        <v>0.72</v>
      </c>
      <c r="F131" s="14">
        <v>241.23235599999998</v>
      </c>
      <c r="G131" s="31">
        <f t="shared" si="4"/>
        <v>173.68729631999997</v>
      </c>
    </row>
    <row r="132" spans="2:7" ht="12">
      <c r="B132" s="26">
        <v>126</v>
      </c>
      <c r="C132" s="7" t="s">
        <v>339</v>
      </c>
      <c r="D132" s="7" t="s">
        <v>255</v>
      </c>
      <c r="E132" s="12">
        <v>0.000165</v>
      </c>
      <c r="F132" s="14">
        <v>14380.016545999999</v>
      </c>
      <c r="G132" s="31">
        <f t="shared" si="4"/>
        <v>2.37270273009</v>
      </c>
    </row>
    <row r="133" spans="2:7" ht="12">
      <c r="B133" s="26">
        <v>127</v>
      </c>
      <c r="C133" s="7" t="s">
        <v>340</v>
      </c>
      <c r="D133" s="7" t="s">
        <v>341</v>
      </c>
      <c r="E133" s="12">
        <v>9.50046</v>
      </c>
      <c r="F133" s="14">
        <v>512.350454</v>
      </c>
      <c r="G133" s="31">
        <f t="shared" si="4"/>
        <v>4867.56499420884</v>
      </c>
    </row>
    <row r="134" spans="2:7" ht="12">
      <c r="B134" s="26">
        <v>128</v>
      </c>
      <c r="C134" s="7" t="s">
        <v>342</v>
      </c>
      <c r="D134" s="7" t="s">
        <v>343</v>
      </c>
      <c r="E134" s="12">
        <v>0.196</v>
      </c>
      <c r="F134" s="14">
        <v>634.01459</v>
      </c>
      <c r="G134" s="31">
        <f t="shared" si="4"/>
        <v>124.26685964</v>
      </c>
    </row>
    <row r="135" spans="2:7" ht="24">
      <c r="B135" s="26">
        <v>129</v>
      </c>
      <c r="C135" s="7" t="s">
        <v>344</v>
      </c>
      <c r="D135" s="7" t="s">
        <v>262</v>
      </c>
      <c r="E135" s="12">
        <v>0.72</v>
      </c>
      <c r="F135" s="14">
        <v>865.234528</v>
      </c>
      <c r="G135" s="31">
        <f t="shared" si="4"/>
        <v>622.96886016</v>
      </c>
    </row>
    <row r="136" spans="2:7" ht="12">
      <c r="B136" s="26">
        <v>130</v>
      </c>
      <c r="C136" s="7" t="s">
        <v>345</v>
      </c>
      <c r="D136" s="7" t="s">
        <v>262</v>
      </c>
      <c r="E136" s="12">
        <v>0.06</v>
      </c>
      <c r="F136" s="14">
        <v>1081.16438</v>
      </c>
      <c r="G136" s="31">
        <f t="shared" si="4"/>
        <v>64.86986279999999</v>
      </c>
    </row>
    <row r="137" spans="2:7" ht="12">
      <c r="B137" s="26">
        <v>131</v>
      </c>
      <c r="C137" s="7" t="s">
        <v>346</v>
      </c>
      <c r="D137" s="7" t="s">
        <v>255</v>
      </c>
      <c r="E137" s="12">
        <v>0.02435</v>
      </c>
      <c r="F137" s="14">
        <v>24813.94093</v>
      </c>
      <c r="G137" s="31">
        <f t="shared" si="4"/>
        <v>604.2194616455</v>
      </c>
    </row>
    <row r="138" spans="2:7" ht="12">
      <c r="B138" s="26">
        <v>132</v>
      </c>
      <c r="C138" s="7" t="s">
        <v>347</v>
      </c>
      <c r="D138" s="7" t="s">
        <v>270</v>
      </c>
      <c r="E138" s="12">
        <v>0.012</v>
      </c>
      <c r="F138" s="14">
        <v>413.400492</v>
      </c>
      <c r="G138" s="31">
        <f t="shared" si="4"/>
        <v>4.960805904</v>
      </c>
    </row>
    <row r="139" spans="2:7" ht="12">
      <c r="B139" s="26">
        <v>133</v>
      </c>
      <c r="C139" s="7" t="s">
        <v>348</v>
      </c>
      <c r="D139" s="7" t="s">
        <v>266</v>
      </c>
      <c r="E139" s="12">
        <v>0.8364</v>
      </c>
      <c r="F139" s="14">
        <v>95.66720199999999</v>
      </c>
      <c r="G139" s="31">
        <f t="shared" si="4"/>
        <v>80.01604775279999</v>
      </c>
    </row>
    <row r="140" spans="2:7" ht="12">
      <c r="B140" s="26">
        <v>134</v>
      </c>
      <c r="C140" s="7" t="s">
        <v>349</v>
      </c>
      <c r="D140" s="7" t="s">
        <v>255</v>
      </c>
      <c r="E140" s="12">
        <v>0.002</v>
      </c>
      <c r="F140" s="14">
        <v>27837.943686000002</v>
      </c>
      <c r="G140" s="31">
        <f t="shared" si="4"/>
        <v>55.675887372000005</v>
      </c>
    </row>
    <row r="141" spans="2:7" ht="12">
      <c r="B141" s="26">
        <v>135</v>
      </c>
      <c r="C141" s="7" t="s">
        <v>350</v>
      </c>
      <c r="D141" s="7" t="s">
        <v>255</v>
      </c>
      <c r="E141" s="12">
        <v>0.000738</v>
      </c>
      <c r="F141" s="14">
        <v>118303.12005200001</v>
      </c>
      <c r="G141" s="31">
        <f t="shared" si="4"/>
        <v>87.30770259837601</v>
      </c>
    </row>
    <row r="142" spans="2:7" ht="24">
      <c r="B142" s="26">
        <v>136</v>
      </c>
      <c r="C142" s="7" t="s">
        <v>351</v>
      </c>
      <c r="D142" s="7" t="s">
        <v>262</v>
      </c>
      <c r="E142" s="12">
        <v>0.06</v>
      </c>
      <c r="F142" s="14">
        <v>1915.3642</v>
      </c>
      <c r="G142" s="31">
        <f t="shared" si="4"/>
        <v>114.921852</v>
      </c>
    </row>
    <row r="143" spans="2:7" ht="12">
      <c r="B143" s="51" t="s">
        <v>252</v>
      </c>
      <c r="C143" s="52"/>
      <c r="D143" s="52"/>
      <c r="E143" s="52"/>
      <c r="F143" s="53"/>
      <c r="G143" s="32">
        <f>SUM(G57:G142)</f>
        <v>156767.66850366216</v>
      </c>
    </row>
    <row r="144" spans="2:7" ht="16.5">
      <c r="B144" s="50" t="s">
        <v>352</v>
      </c>
      <c r="C144" s="50"/>
      <c r="D144" s="50"/>
      <c r="E144" s="50"/>
      <c r="F144" s="50"/>
      <c r="G144" s="50"/>
    </row>
    <row r="145" spans="2:7" ht="12">
      <c r="B145" s="25">
        <v>137</v>
      </c>
      <c r="C145" s="27" t="s">
        <v>353</v>
      </c>
      <c r="D145" s="27" t="s">
        <v>262</v>
      </c>
      <c r="E145" s="28">
        <v>0.6911269</v>
      </c>
      <c r="F145" s="29">
        <v>137.69915600000002</v>
      </c>
      <c r="G145" s="30">
        <f aca="true" t="shared" si="5" ref="G145:G157">E145*F145</f>
        <v>95.16759081889641</v>
      </c>
    </row>
    <row r="146" spans="2:7" ht="12">
      <c r="B146" s="26">
        <v>138</v>
      </c>
      <c r="C146" s="7" t="s">
        <v>354</v>
      </c>
      <c r="D146" s="7" t="s">
        <v>262</v>
      </c>
      <c r="E146" s="12">
        <v>6.4831608</v>
      </c>
      <c r="F146" s="14">
        <v>101.462536</v>
      </c>
      <c r="G146" s="31">
        <f t="shared" si="5"/>
        <v>657.7979360637888</v>
      </c>
    </row>
    <row r="147" spans="2:7" ht="12">
      <c r="B147" s="26">
        <v>139</v>
      </c>
      <c r="C147" s="7" t="s">
        <v>355</v>
      </c>
      <c r="D147" s="7" t="s">
        <v>262</v>
      </c>
      <c r="E147" s="12">
        <v>0.008</v>
      </c>
      <c r="F147" s="14">
        <v>125.275172</v>
      </c>
      <c r="G147" s="31">
        <f t="shared" si="5"/>
        <v>1.002201376</v>
      </c>
    </row>
    <row r="148" spans="2:7" ht="12">
      <c r="B148" s="26">
        <v>140</v>
      </c>
      <c r="C148" s="7" t="s">
        <v>356</v>
      </c>
      <c r="D148" s="7" t="s">
        <v>262</v>
      </c>
      <c r="E148" s="12">
        <v>0.11268</v>
      </c>
      <c r="F148" s="14">
        <v>207.06640000000002</v>
      </c>
      <c r="G148" s="31">
        <f t="shared" si="5"/>
        <v>23.332241952000004</v>
      </c>
    </row>
    <row r="149" spans="2:7" ht="12">
      <c r="B149" s="26">
        <v>141</v>
      </c>
      <c r="C149" s="7" t="s">
        <v>357</v>
      </c>
      <c r="D149" s="7" t="s">
        <v>262</v>
      </c>
      <c r="E149" s="12">
        <v>0.0124</v>
      </c>
      <c r="F149" s="14">
        <v>189.465756</v>
      </c>
      <c r="G149" s="31">
        <f t="shared" si="5"/>
        <v>2.3493753744</v>
      </c>
    </row>
    <row r="150" spans="2:7" ht="12">
      <c r="B150" s="26">
        <v>142</v>
      </c>
      <c r="C150" s="7" t="s">
        <v>358</v>
      </c>
      <c r="D150" s="7" t="s">
        <v>262</v>
      </c>
      <c r="E150" s="12">
        <v>3.284</v>
      </c>
      <c r="F150" s="14">
        <v>121.133844</v>
      </c>
      <c r="G150" s="31">
        <f t="shared" si="5"/>
        <v>397.80354369599996</v>
      </c>
    </row>
    <row r="151" spans="2:7" ht="12">
      <c r="B151" s="26">
        <v>143</v>
      </c>
      <c r="C151" s="7" t="s">
        <v>359</v>
      </c>
      <c r="D151" s="7" t="s">
        <v>262</v>
      </c>
      <c r="E151" s="12">
        <v>0.01308</v>
      </c>
      <c r="F151" s="14">
        <v>171.865112</v>
      </c>
      <c r="G151" s="31">
        <f t="shared" si="5"/>
        <v>2.24799566496</v>
      </c>
    </row>
    <row r="152" spans="2:7" ht="12">
      <c r="B152" s="26">
        <v>144</v>
      </c>
      <c r="C152" s="7" t="s">
        <v>360</v>
      </c>
      <c r="D152" s="7" t="s">
        <v>262</v>
      </c>
      <c r="E152" s="12">
        <v>0.28431856</v>
      </c>
      <c r="F152" s="14">
        <v>102.49786800000001</v>
      </c>
      <c r="G152" s="31">
        <f t="shared" si="5"/>
        <v>29.142046232830083</v>
      </c>
    </row>
    <row r="153" spans="2:7" ht="12">
      <c r="B153" s="26">
        <v>145</v>
      </c>
      <c r="C153" s="7" t="s">
        <v>361</v>
      </c>
      <c r="D153" s="7" t="s">
        <v>262</v>
      </c>
      <c r="E153" s="12">
        <v>0.112</v>
      </c>
      <c r="F153" s="14">
        <v>2531.3867400000004</v>
      </c>
      <c r="G153" s="31">
        <f t="shared" si="5"/>
        <v>283.51531488000006</v>
      </c>
    </row>
    <row r="154" spans="2:7" ht="12">
      <c r="B154" s="26">
        <v>146</v>
      </c>
      <c r="C154" s="7" t="s">
        <v>362</v>
      </c>
      <c r="D154" s="7" t="s">
        <v>262</v>
      </c>
      <c r="E154" s="12">
        <v>0.5772</v>
      </c>
      <c r="F154" s="14">
        <v>55.5544</v>
      </c>
      <c r="G154" s="31">
        <f t="shared" si="5"/>
        <v>32.065999680000004</v>
      </c>
    </row>
    <row r="155" spans="2:7" ht="12">
      <c r="B155" s="26">
        <v>147</v>
      </c>
      <c r="C155" s="7" t="s">
        <v>363</v>
      </c>
      <c r="D155" s="7" t="s">
        <v>262</v>
      </c>
      <c r="E155" s="12">
        <v>0.002</v>
      </c>
      <c r="F155" s="14">
        <v>517.666</v>
      </c>
      <c r="G155" s="31">
        <f t="shared" si="5"/>
        <v>1.0353320000000001</v>
      </c>
    </row>
    <row r="156" spans="2:7" ht="12">
      <c r="B156" s="26">
        <v>148</v>
      </c>
      <c r="C156" s="7" t="s">
        <v>364</v>
      </c>
      <c r="D156" s="7" t="s">
        <v>262</v>
      </c>
      <c r="E156" s="12">
        <v>0.58955583</v>
      </c>
      <c r="F156" s="14">
        <v>165.65311999999997</v>
      </c>
      <c r="G156" s="31">
        <f t="shared" si="5"/>
        <v>97.66176265368958</v>
      </c>
    </row>
    <row r="157" spans="2:7" ht="12">
      <c r="B157" s="26">
        <v>149</v>
      </c>
      <c r="C157" s="7" t="s">
        <v>365</v>
      </c>
      <c r="D157" s="7" t="s">
        <v>262</v>
      </c>
      <c r="E157" s="12">
        <v>0.00270707</v>
      </c>
      <c r="F157" s="14">
        <v>339.588896</v>
      </c>
      <c r="G157" s="31">
        <f t="shared" si="5"/>
        <v>0.9192909126947199</v>
      </c>
    </row>
    <row r="158" spans="2:7" ht="12">
      <c r="B158" s="51" t="s">
        <v>252</v>
      </c>
      <c r="C158" s="52"/>
      <c r="D158" s="52"/>
      <c r="E158" s="52"/>
      <c r="F158" s="53"/>
      <c r="G158" s="32">
        <f>SUM(G145:G157)</f>
        <v>1624.0406313052595</v>
      </c>
    </row>
    <row r="159" spans="2:7" ht="16.5">
      <c r="B159" s="50" t="s">
        <v>366</v>
      </c>
      <c r="C159" s="50"/>
      <c r="D159" s="50"/>
      <c r="E159" s="50"/>
      <c r="F159" s="50"/>
      <c r="G159" s="50"/>
    </row>
    <row r="160" spans="2:7" ht="12">
      <c r="B160" s="25">
        <v>150</v>
      </c>
      <c r="C160" s="27" t="s">
        <v>367</v>
      </c>
      <c r="D160" s="27" t="s">
        <v>368</v>
      </c>
      <c r="E160" s="28">
        <v>5.25</v>
      </c>
      <c r="F160" s="29">
        <v>66.066</v>
      </c>
      <c r="G160" s="30">
        <f aca="true" t="shared" si="6" ref="G160:G166">E160*F160</f>
        <v>346.8465</v>
      </c>
    </row>
    <row r="161" spans="2:7" ht="12">
      <c r="B161" s="26">
        <v>151</v>
      </c>
      <c r="C161" s="7" t="s">
        <v>369</v>
      </c>
      <c r="D161" s="7" t="s">
        <v>370</v>
      </c>
      <c r="E161" s="12">
        <v>0.41666667</v>
      </c>
      <c r="F161" s="14">
        <v>1064.1358000000002</v>
      </c>
      <c r="G161" s="31">
        <f t="shared" si="6"/>
        <v>443.3899202137861</v>
      </c>
    </row>
    <row r="162" spans="2:7" ht="24">
      <c r="B162" s="26">
        <v>152</v>
      </c>
      <c r="C162" s="7" t="s">
        <v>371</v>
      </c>
      <c r="D162" s="7" t="s">
        <v>368</v>
      </c>
      <c r="E162" s="12">
        <v>0.596</v>
      </c>
      <c r="F162" s="14">
        <v>99.6268</v>
      </c>
      <c r="G162" s="31">
        <f t="shared" si="6"/>
        <v>59.377572799999996</v>
      </c>
    </row>
    <row r="163" spans="2:7" ht="12">
      <c r="B163" s="26">
        <v>153</v>
      </c>
      <c r="C163" s="7" t="s">
        <v>372</v>
      </c>
      <c r="D163" s="7" t="s">
        <v>370</v>
      </c>
      <c r="E163" s="12">
        <v>0.004</v>
      </c>
      <c r="F163" s="14">
        <v>5.150600000000001</v>
      </c>
      <c r="G163" s="31">
        <f t="shared" si="6"/>
        <v>0.020602400000000003</v>
      </c>
    </row>
    <row r="164" spans="2:7" ht="12">
      <c r="B164" s="26">
        <v>154</v>
      </c>
      <c r="C164" s="7" t="s">
        <v>373</v>
      </c>
      <c r="D164" s="7" t="s">
        <v>370</v>
      </c>
      <c r="E164" s="12">
        <v>0.108</v>
      </c>
      <c r="F164" s="14">
        <v>321.048</v>
      </c>
      <c r="G164" s="31">
        <f t="shared" si="6"/>
        <v>34.673184</v>
      </c>
    </row>
    <row r="165" spans="2:7" ht="12">
      <c r="B165" s="26">
        <v>155</v>
      </c>
      <c r="C165" s="7" t="s">
        <v>374</v>
      </c>
      <c r="D165" s="7" t="s">
        <v>368</v>
      </c>
      <c r="E165" s="12">
        <v>0.545</v>
      </c>
      <c r="F165" s="14">
        <v>236.00850000000003</v>
      </c>
      <c r="G165" s="31">
        <f t="shared" si="6"/>
        <v>128.62463250000002</v>
      </c>
    </row>
    <row r="166" spans="2:7" ht="24">
      <c r="B166" s="26">
        <v>156</v>
      </c>
      <c r="C166" s="7" t="s">
        <v>375</v>
      </c>
      <c r="D166" s="7" t="s">
        <v>368</v>
      </c>
      <c r="E166" s="12">
        <v>64.8</v>
      </c>
      <c r="F166" s="14">
        <v>84.8302</v>
      </c>
      <c r="G166" s="31">
        <f t="shared" si="6"/>
        <v>5496.99696</v>
      </c>
    </row>
    <row r="167" spans="2:7" ht="12">
      <c r="B167" s="51" t="s">
        <v>252</v>
      </c>
      <c r="C167" s="52"/>
      <c r="D167" s="52"/>
      <c r="E167" s="52"/>
      <c r="F167" s="53"/>
      <c r="G167" s="32">
        <f>SUM(G160:G166)</f>
        <v>6509.929371913787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58:F158"/>
    <mergeCell ref="B159:G159"/>
    <mergeCell ref="B167:F167"/>
    <mergeCell ref="B1:G1"/>
    <mergeCell ref="B4:G4"/>
    <mergeCell ref="B55:F55"/>
    <mergeCell ref="B56:G56"/>
    <mergeCell ref="B143:F143"/>
    <mergeCell ref="B144:G144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Админ</cp:lastModifiedBy>
  <dcterms:created xsi:type="dcterms:W3CDTF">2018-04-23T10:39:34Z</dcterms:created>
  <dcterms:modified xsi:type="dcterms:W3CDTF">2018-04-23T11:10:22Z</dcterms:modified>
  <cp:category>ÑÐ¼ÐµÑ‚Ð°</cp:category>
  <cp:version/>
  <cp:contentType/>
  <cp:contentStatus/>
</cp:coreProperties>
</file>